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xWindow="-110" yWindow="-110" windowWidth="19420" windowHeight="11020" tabRatio="600" firstSheet="7" activeTab="0" autoFilterDateGrouping="1"/>
  </bookViews>
  <sheets>
    <sheet xmlns:r="http://schemas.openxmlformats.org/officeDocument/2006/relationships" name="Lisez-moi" sheetId="1" state="visible" r:id="rId1"/>
    <sheet xmlns:r="http://schemas.openxmlformats.org/officeDocument/2006/relationships" name="Journaux" sheetId="2" state="visible" r:id="rId2"/>
    <sheet xmlns:r="http://schemas.openxmlformats.org/officeDocument/2006/relationships" name="Journaux - mode d'emploi" sheetId="3" state="visible" r:id="rId3"/>
    <sheet xmlns:r="http://schemas.openxmlformats.org/officeDocument/2006/relationships" name="TVA" sheetId="4" state="visible" r:id="rId4"/>
    <sheet xmlns:r="http://schemas.openxmlformats.org/officeDocument/2006/relationships" name="Rapprochement bancaire" sheetId="5" state="visible" r:id="rId5"/>
    <sheet xmlns:r="http://schemas.openxmlformats.org/officeDocument/2006/relationships" name="Amort. linéaire" sheetId="6" state="visible" r:id="rId6"/>
    <sheet xmlns:r="http://schemas.openxmlformats.org/officeDocument/2006/relationships" name="Amort. dégressif" sheetId="7" state="visible" r:id="rId7"/>
    <sheet xmlns:r="http://schemas.openxmlformats.org/officeDocument/2006/relationships" name="Amort. unités d'œuvre" sheetId="8" state="visible" r:id="rId8"/>
    <sheet xmlns:r="http://schemas.openxmlformats.org/officeDocument/2006/relationships" name="Amort. dérogatoire" sheetId="9" state="visible" r:id="rId9"/>
    <sheet xmlns:r="http://schemas.openxmlformats.org/officeDocument/2006/relationships" name="Emprunt annuité" sheetId="10" state="visible" r:id="rId10"/>
    <sheet xmlns:r="http://schemas.openxmlformats.org/officeDocument/2006/relationships" name="Emprunt amort. constant" sheetId="11" state="visible" r:id="rId11"/>
    <sheet xmlns:r="http://schemas.openxmlformats.org/officeDocument/2006/relationships" name="Emprunt in fine" sheetId="12" state="visible" r:id="rId12"/>
    <sheet xmlns:r="http://schemas.openxmlformats.org/officeDocument/2006/relationships" name="Plan comptable" sheetId="13" state="visible" r:id="rId13"/>
  </sheets>
  <definedNames>
    <definedName name="liste_PCG1">'Plan comptable'!$A$1:$B$830</definedName>
    <definedName name="PCG_numeros">'Plan comptable'!$A$2:$A$830</definedName>
    <definedName name="PCG_libelles">'Plan comptable'!$B$2:$B$830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5">
    <numFmt numFmtId="164" formatCode="_-* #,##0.00\ &quot;€&quot;_-;\-* #,##0.00\ &quot;€&quot;_-;_-* &quot;-&quot;??\ &quot;€&quot;_-;_-@_-"/>
    <numFmt numFmtId="165" formatCode="_-* #,##0\ &quot;€&quot;_-;\-* #,##0\ &quot;€&quot;_-;_-* &quot;-&quot;??\ &quot;€&quot;_-;_-@_-"/>
    <numFmt numFmtId="166" formatCode="#,##0.00\ &quot;€&quot;"/>
    <numFmt numFmtId="167" formatCode="dd/mm/yyyy"/>
    <numFmt numFmtId="168" formatCode="#,##0.00 &quot;€&quot;"/>
  </numFmts>
  <fonts count="39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Times New Roman"/>
      <family val="1"/>
      <color rgb="FF000000"/>
      <sz val="11"/>
    </font>
    <font>
      <name val="Calibri"/>
      <family val="2"/>
      <b val="1"/>
      <sz val="11"/>
      <scheme val="minor"/>
    </font>
    <font>
      <name val="Calibri"/>
      <family val="2"/>
      <b val="1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b val="1"/>
      <color theme="1"/>
      <sz val="16"/>
      <scheme val="minor"/>
    </font>
    <font>
      <name val="Calibri"/>
      <family val="2"/>
      <color theme="1"/>
      <sz val="22"/>
      <scheme val="minor"/>
    </font>
    <font>
      <name val="Calibri"/>
      <family val="2"/>
      <b val="1"/>
      <color theme="1"/>
      <sz val="14"/>
      <scheme val="minor"/>
    </font>
    <font>
      <name val="Calibri"/>
      <family val="2"/>
      <color theme="1"/>
      <sz val="12"/>
      <scheme val="minor"/>
    </font>
    <font>
      <name val="Calibri"/>
      <b val="1"/>
      <color rgb="FF0B2A4A"/>
      <sz val="14"/>
    </font>
    <font>
      <name val="Calibri"/>
      <i val="1"/>
      <color rgb="FF5A6B7D"/>
      <sz val="11"/>
    </font>
    <font>
      <name val="Calibri"/>
      <b val="1"/>
      <color rgb="FF0B2A4A"/>
      <sz val="11"/>
    </font>
    <font>
      <name val="Calibri"/>
      <b val="1"/>
      <color rgb="FFFFFFFF"/>
      <sz val="11"/>
    </font>
    <font>
      <name val="Calibri"/>
      <b val="1"/>
      <color rgb="FF066F73"/>
      <sz val="11"/>
    </font>
    <font>
      <name val="Calibri"/>
      <b val="1"/>
      <color rgb="FF0B2A4A"/>
      <sz val="16"/>
    </font>
    <font>
      <name val="Calibri"/>
      <color rgb="00000000"/>
      <sz val="11"/>
    </font>
    <font>
      <name val="Calibri"/>
      <b val="1"/>
      <color rgb="00FFFFFF"/>
      <sz val="11"/>
    </font>
    <font>
      <name val="Calibri"/>
      <i val="1"/>
      <color rgb="005A6B7D"/>
      <sz val="10"/>
    </font>
    <font>
      <name val="Calibri"/>
      <b val="1"/>
      <color rgb="000B2A4A"/>
      <sz val="11"/>
    </font>
    <font>
      <name val="Consolas"/>
      <color rgb="000B2A4A"/>
      <sz val="10"/>
    </font>
    <font>
      <name val="Calibri"/>
      <b val="1"/>
      <color rgb="00FFFFFF"/>
      <sz val="18"/>
    </font>
    <font>
      <name val="Calibri"/>
      <b val="1"/>
      <color rgb="00FFFFFF"/>
      <sz val="13"/>
    </font>
    <font>
      <name val="Calibri"/>
      <b val="1"/>
      <color rgb="00FFFFFF"/>
      <sz val="12"/>
    </font>
    <font>
      <name val="Calibri"/>
      <color rgb="00000000"/>
      <sz val="12"/>
    </font>
    <font>
      <name val="Calibri"/>
      <b val="1"/>
      <color rgb="000B2A4A"/>
      <sz val="12"/>
    </font>
    <font>
      <name val="Calibri"/>
      <b val="1"/>
      <color rgb="00FFFFFF"/>
      <sz val="24"/>
    </font>
    <font>
      <name val="Calibri"/>
      <color rgb="000B2A4A"/>
      <sz val="12"/>
    </font>
    <font>
      <name val="Calibri"/>
      <b val="1"/>
      <color rgb="00078F91"/>
      <sz val="13"/>
    </font>
    <font>
      <name val="Calibri"/>
      <b val="1"/>
      <color rgb="00078F91"/>
      <sz val="11"/>
      <u val="single"/>
    </font>
    <font>
      <name val="Calibri"/>
      <b val="1"/>
      <i val="1"/>
      <color rgb="000B2A4A"/>
      <sz val="9"/>
    </font>
    <font>
      <name val="Calibri"/>
      <b val="1"/>
      <color rgb="000B2A4A"/>
      <sz val="10"/>
    </font>
    <font>
      <name val="Calibri"/>
      <color rgb="00000000"/>
      <sz val="10"/>
    </font>
    <font>
      <name val="Calibri"/>
      <color rgb="000B2A4A"/>
      <sz val="10"/>
    </font>
    <font>
      <name val="Calibri"/>
      <family val="2"/>
      <b val="1"/>
      <color theme="1"/>
      <sz val="12"/>
      <scheme val="minor"/>
    </font>
    <font>
      <name val="Calibri"/>
      <b val="1"/>
      <color rgb="000B2A4A"/>
      <sz val="14"/>
    </font>
    <font>
      <name val="Calibri"/>
      <i val="1"/>
      <color rgb="000B2A4A"/>
      <sz val="11"/>
    </font>
    <font>
      <name val="Calibri"/>
      <sz val="11"/>
    </font>
    <font>
      <name val="Calibri"/>
      <color rgb="000B2A4A"/>
      <sz val="11"/>
    </font>
  </fonts>
  <fills count="25">
    <fill>
      <patternFill/>
    </fill>
    <fill>
      <patternFill patternType="gray125"/>
    </fill>
    <fill>
      <patternFill patternType="solid">
        <fgColor rgb="FFC5D3FF"/>
        <bgColor indexed="64"/>
      </patternFill>
    </fill>
    <fill>
      <patternFill patternType="solid">
        <fgColor rgb="FFA3DBFF"/>
        <bgColor indexed="64"/>
      </patternFill>
    </fill>
    <fill>
      <patternFill patternType="solid">
        <fgColor rgb="FFCDE6FF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909EE6"/>
        <bgColor indexed="64"/>
      </patternFill>
    </fill>
    <fill>
      <patternFill patternType="solid">
        <fgColor rgb="FFDC3939"/>
        <bgColor indexed="64"/>
      </patternFill>
    </fill>
    <fill>
      <patternFill patternType="solid">
        <fgColor rgb="FFFFF2B3"/>
      </patternFill>
    </fill>
    <fill>
      <patternFill patternType="solid">
        <fgColor rgb="FF0B2A4A"/>
      </patternFill>
    </fill>
    <fill>
      <patternFill patternType="solid">
        <fgColor rgb="FFC4E6E6"/>
      </patternFill>
    </fill>
    <fill>
      <patternFill patternType="solid">
        <fgColor rgb="000B2A4A"/>
      </patternFill>
    </fill>
    <fill>
      <patternFill patternType="solid">
        <fgColor rgb="00078F91"/>
      </patternFill>
    </fill>
    <fill>
      <patternFill patternType="solid">
        <fgColor rgb="00FFFFFF"/>
      </patternFill>
    </fill>
    <fill>
      <patternFill patternType="solid">
        <fgColor rgb="00EAF0F6"/>
      </patternFill>
    </fill>
    <fill>
      <patternFill patternType="solid">
        <fgColor rgb="00FFF2B3"/>
      </patternFill>
    </fill>
    <fill>
      <patternFill patternType="solid">
        <fgColor rgb="00C4E6E6"/>
      </patternFill>
    </fill>
    <fill>
      <patternFill patternType="solid">
        <fgColor rgb="00F3F7FB"/>
      </patternFill>
    </fill>
    <fill>
      <patternFill patternType="solid">
        <fgColor rgb="000ACFCF"/>
      </patternFill>
    </fill>
    <fill>
      <patternFill patternType="solid">
        <fgColor rgb="00FFF2B3"/>
        <bgColor rgb="00FFF2B3"/>
      </patternFill>
    </fill>
    <fill>
      <patternFill patternType="solid">
        <fgColor rgb="00078F91"/>
        <bgColor rgb="00078F91"/>
      </patternFill>
    </fill>
    <fill>
      <patternFill patternType="solid">
        <fgColor rgb="00FFFFFF"/>
        <bgColor rgb="00FFFFFF"/>
      </patternFill>
    </fill>
    <fill>
      <patternFill patternType="solid">
        <fgColor rgb="00EAF0F6"/>
        <bgColor rgb="00EAF0F6"/>
      </patternFill>
    </fill>
    <fill>
      <patternFill patternType="solid">
        <fgColor rgb="000B2A4A"/>
        <bgColor rgb="000B2A4A"/>
      </patternFill>
    </fill>
  </fills>
  <borders count="18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8C4CE"/>
      </left>
      <right style="thin">
        <color rgb="FFB8C4CE"/>
      </right>
      <top style="thin">
        <color rgb="FFB8C4CE"/>
      </top>
      <bottom style="thin">
        <color rgb="FFB8C4CE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rgb="00B8C4CE"/>
      </left>
      <right style="thin">
        <color rgb="00B8C4CE"/>
      </right>
      <top style="thin">
        <color rgb="00B8C4CE"/>
      </top>
      <bottom style="thin">
        <color rgb="00B8C4CE"/>
      </bottom>
    </border>
    <border/>
    <border>
      <left style="medium">
        <color rgb="000B2A4A"/>
      </left>
      <right style="thin">
        <color indexed="64"/>
      </right>
      <top style="medium">
        <color rgb="000B2A4A"/>
      </top>
      <bottom style="thin">
        <color indexed="64"/>
      </bottom>
    </border>
    <border>
      <left style="thin">
        <color indexed="64"/>
      </left>
      <right style="thin">
        <color indexed="64"/>
      </right>
      <top style="medium">
        <color rgb="000B2A4A"/>
      </top>
      <bottom style="thin">
        <color indexed="64"/>
      </bottom>
    </border>
    <border>
      <left style="thin">
        <color indexed="64"/>
      </left>
      <right style="medium">
        <color rgb="000B2A4A"/>
      </right>
      <top style="medium">
        <color rgb="000B2A4A"/>
      </top>
      <bottom style="thin">
        <color indexed="64"/>
      </bottom>
    </border>
    <border>
      <left style="medium">
        <color rgb="000B2A4A"/>
      </left>
      <right style="thin">
        <color indexed="64"/>
      </right>
      <top style="thin">
        <color indexed="64"/>
      </top>
      <bottom style="thin">
        <color indexed="64"/>
      </bottom>
    </border>
    <border>
      <left/>
      <right/>
      <top style="thin">
        <color indexed="64"/>
      </top>
      <bottom style="thin">
        <color indexed="64"/>
      </bottom>
    </border>
    <border>
      <left/>
      <right style="medium">
        <color rgb="000B2A4A"/>
      </right>
      <top style="thin">
        <color indexed="64"/>
      </top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right style="medium">
        <color rgb="000B2A4A"/>
      </right>
      <top style="thin">
        <color indexed="64"/>
      </top>
      <bottom style="thin">
        <color indexed="64"/>
      </bottom>
    </border>
    <border>
      <left style="medium">
        <color rgb="000B2A4A"/>
      </left>
      <right style="thin">
        <color indexed="64"/>
      </right>
      <top style="thin">
        <color indexed="64"/>
      </top>
      <bottom/>
    </border>
    <border>
      <left style="thin">
        <color indexed="64"/>
      </left>
      <right style="thin">
        <color indexed="64"/>
      </right>
      <top style="thin">
        <color indexed="64"/>
      </top>
      <bottom/>
    </border>
    <border>
      <left style="medium">
        <color rgb="000B2A4A"/>
      </left>
      <right style="medium">
        <color indexed="64"/>
      </right>
      <top style="medium">
        <color indexed="64"/>
      </top>
      <bottom style="medium">
        <color indexed="64"/>
      </bottom>
    </border>
    <border>
      <left/>
      <right/>
      <top style="medium">
        <color indexed="64"/>
      </top>
      <bottom style="medium">
        <color indexed="64"/>
      </bottom>
    </border>
    <border>
      <left/>
      <right style="medium">
        <color indexed="64"/>
      </right>
      <top style="medium">
        <color indexed="64"/>
      </top>
      <bottom style="medium">
        <color indexed="64"/>
      </bottom>
    </border>
    <border>
      <left/>
      <right style="thin">
        <color indexed="64"/>
      </right>
      <top style="thin">
        <color indexed="64"/>
      </top>
      <bottom style="thin">
        <color indexed="64"/>
      </bottom>
    </border>
    <border>
      <left style="medium">
        <color rgb="000B2A4A"/>
      </left>
      <right/>
      <top/>
      <bottom style="thin">
        <color indexed="64"/>
      </bottom>
    </border>
    <border>
      <left/>
      <right/>
      <top/>
      <bottom style="thin">
        <color indexed="64"/>
      </bottom>
    </border>
    <border>
      <left style="medium">
        <color rgb="000B2A4A"/>
      </left>
      <right/>
      <top style="thin">
        <color indexed="64"/>
      </top>
      <bottom style="thin">
        <color indexed="64"/>
      </bottom>
    </border>
    <border>
      <left/>
      <right/>
      <top style="thin">
        <color indexed="64"/>
      </top>
      <bottom/>
    </border>
    <border>
      <left/>
      <right style="thin">
        <color indexed="64"/>
      </right>
      <top style="thin">
        <color indexed="64"/>
      </top>
      <bottom/>
    </border>
    <border>
      <left style="medium">
        <color rgb="000B2A4A"/>
      </left>
      <right style="thin">
        <color indexed="64"/>
      </right>
      <top/>
      <bottom style="thin">
        <color indexed="64"/>
      </bottom>
    </border>
    <border>
      <left style="thin">
        <color indexed="64"/>
      </left>
      <right style="thin">
        <color indexed="64"/>
      </right>
      <top/>
      <bottom style="thin">
        <color indexed="64"/>
      </bottom>
    </border>
    <border>
      <left/>
      <right style="thin">
        <color indexed="64"/>
      </right>
      <top/>
      <bottom style="thin">
        <color indexed="64"/>
      </bottom>
    </border>
    <border>
      <left style="medium">
        <color rgb="000B2A4A"/>
      </left>
      <right style="thin">
        <color indexed="64"/>
      </right>
      <top style="thin">
        <color indexed="64"/>
      </top>
      <bottom style="medium">
        <color rgb="000B2A4A"/>
      </bottom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000B2A4A"/>
      </bottom>
    </border>
    <border>
      <left/>
      <right/>
      <top style="thin">
        <color indexed="64"/>
      </top>
      <bottom style="medium">
        <color rgb="000B2A4A"/>
      </bottom>
    </border>
    <border>
      <left/>
      <right style="thin">
        <color indexed="64"/>
      </right>
      <top style="thin">
        <color indexed="64"/>
      </top>
      <bottom style="medium">
        <color rgb="000B2A4A"/>
      </bottom>
    </border>
    <border>
      <left style="thin">
        <color indexed="64"/>
      </left>
      <right style="medium">
        <color rgb="000B2A4A"/>
      </right>
      <top style="thin">
        <color indexed="64"/>
      </top>
      <bottom style="medium">
        <color rgb="000B2A4A"/>
      </bottom>
    </border>
    <border>
      <left style="medium">
        <color rgb="000B2A4A"/>
      </left>
      <right/>
      <top style="medium">
        <color rgb="000B2A4A"/>
      </top>
      <bottom style="medium">
        <color indexed="64"/>
      </bottom>
    </border>
    <border>
      <left/>
      <right/>
      <top style="medium">
        <color rgb="000B2A4A"/>
      </top>
      <bottom style="medium">
        <color indexed="64"/>
      </bottom>
    </border>
    <border>
      <left/>
      <right/>
      <top style="medium">
        <color rgb="000B2A4A"/>
      </top>
      <bottom/>
    </border>
    <border>
      <left/>
      <right style="medium">
        <color rgb="000B2A4A"/>
      </right>
      <top style="medium">
        <color rgb="000B2A4A"/>
      </top>
      <bottom/>
    </border>
    <border>
      <left style="medium">
        <color rgb="000B2A4A"/>
      </left>
      <right style="thin">
        <color indexed="64"/>
      </right>
      <top style="medium">
        <color indexed="64"/>
      </top>
      <bottom style="medium">
        <color indexed="64"/>
      </bottom>
    </border>
    <border>
      <left/>
      <right style="thin">
        <color indexed="64"/>
      </right>
      <top style="medium">
        <color indexed="64"/>
      </top>
      <bottom style="medium">
        <color indexed="64"/>
      </bottom>
    </border>
    <border>
      <left/>
      <right style="medium">
        <color indexed="64"/>
      </right>
      <top style="medium">
        <color indexed="64"/>
      </top>
      <bottom style="thin">
        <color indexed="64"/>
      </bottom>
    </border>
    <border>
      <left/>
      <right/>
      <top/>
      <bottom/>
    </border>
    <border>
      <left/>
      <right style="medium">
        <color rgb="000B2A4A"/>
      </right>
      <top/>
      <bottom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</border>
    <border>
      <left style="medium">
        <color rgb="000B2A4A"/>
      </left>
      <right style="thin">
        <color indexed="64"/>
      </right>
      <top style="thin">
        <color indexed="64"/>
      </top>
      <bottom style="medium">
        <color indexed="64"/>
      </bottom>
    </border>
    <border>
      <left/>
      <right/>
      <top style="thin">
        <color indexed="64"/>
      </top>
      <bottom style="medium">
        <color indexed="64"/>
      </bottom>
    </border>
    <border>
      <left/>
      <right style="thin">
        <color indexed="64"/>
      </right>
      <top style="thin">
        <color indexed="64"/>
      </top>
      <bottom style="medium">
        <color indexed="64"/>
      </bottom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</border>
    <border>
      <left style="medium">
        <color rgb="000B2A4A"/>
      </left>
      <right/>
      <top/>
      <bottom/>
    </border>
    <border>
      <left/>
      <right style="medium">
        <color indexed="64"/>
      </right>
      <top style="medium">
        <color indexed="64"/>
      </top>
      <bottom/>
    </border>
    <border>
      <left style="medium">
        <color rgb="000B2A4A"/>
      </left>
      <right/>
      <top style="medium">
        <color indexed="64"/>
      </top>
      <bottom/>
    </border>
    <border>
      <left/>
      <right/>
      <top style="medium">
        <color indexed="64"/>
      </top>
      <bottom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rgb="000B2A4A"/>
      </bottom>
    </border>
    <border>
      <left/>
      <right/>
      <top/>
      <bottom style="medium">
        <color rgb="000B2A4A"/>
      </bottom>
    </border>
    <border>
      <left/>
      <right style="medium">
        <color rgb="000B2A4A"/>
      </right>
      <top/>
      <bottom style="medium">
        <color rgb="000B2A4A"/>
      </bottom>
    </border>
    <border>
      <left style="medium">
        <color rgb="000B2A4A"/>
      </left>
      <right/>
      <top style="medium">
        <color rgb="000B2A4A"/>
      </top>
      <bottom/>
    </border>
    <border>
      <left/>
      <right style="thin">
        <color indexed="64"/>
      </right>
      <top style="medium">
        <color indexed="64"/>
      </top>
      <bottom style="thin">
        <color indexed="64"/>
      </bottom>
    </border>
    <border>
      <left style="thin">
        <color indexed="64"/>
      </left>
      <right style="medium">
        <color rgb="000B2A4A"/>
      </right>
      <top style="medium">
        <color indexed="64"/>
      </top>
      <bottom style="thin">
        <color indexed="64"/>
      </bottom>
    </border>
    <border>
      <left style="thin">
        <color indexed="64"/>
      </left>
      <right style="medium">
        <color rgb="000B2A4A"/>
      </right>
      <top style="thin">
        <color indexed="64"/>
      </top>
      <bottom/>
    </border>
    <border>
      <left style="medium">
        <color indexed="64"/>
      </left>
      <right style="medium">
        <color rgb="000B2A4A"/>
      </right>
      <top style="medium">
        <color indexed="64"/>
      </top>
      <bottom style="thin">
        <color indexed="64"/>
      </bottom>
    </border>
    <border>
      <left style="medium">
        <color rgb="000B2A4A"/>
      </left>
      <right style="medium">
        <color indexed="64"/>
      </right>
      <top style="thin">
        <color indexed="64"/>
      </top>
      <bottom style="medium">
        <color indexed="64"/>
      </bottom>
    </border>
    <border>
      <left/>
      <right style="medium">
        <color indexed="64"/>
      </right>
      <top style="thin">
        <color indexed="64"/>
      </top>
      <bottom style="medium">
        <color indexed="64"/>
      </bottom>
    </border>
    <border>
      <left style="medium">
        <color indexed="64"/>
      </left>
      <right style="medium">
        <color rgb="000B2A4A"/>
      </right>
      <top style="thin">
        <color indexed="64"/>
      </top>
      <bottom style="medium">
        <color indexed="64"/>
      </bottom>
    </border>
    <border>
      <left/>
      <right style="medium">
        <color rgb="000B2A4A"/>
      </right>
      <top style="medium">
        <color indexed="64"/>
      </top>
      <bottom style="thin">
        <color indexed="64"/>
      </bottom>
    </border>
    <border>
      <left style="thin">
        <color indexed="64"/>
      </left>
      <right style="medium">
        <color rgb="000B2A4A"/>
      </right>
      <top style="thin">
        <color indexed="64"/>
      </top>
      <bottom style="medium">
        <color indexed="64"/>
      </bottom>
    </border>
    <border>
      <left style="thin">
        <color rgb="007F93A8"/>
      </left>
      <right style="thin">
        <color rgb="007F93A8"/>
      </right>
      <top style="thin">
        <color rgb="007F93A8"/>
      </top>
      <bottom style="thin">
        <color rgb="007F93A8"/>
      </bottom>
    </border>
    <border>
      <left style="medium">
        <color rgb="000B2A4A"/>
      </left>
      <right style="thin">
        <color rgb="007F93A8"/>
      </right>
      <top style="medium">
        <color rgb="000B2A4A"/>
      </top>
      <bottom style="thin">
        <color rgb="007F93A8"/>
      </bottom>
    </border>
    <border>
      <left style="thin">
        <color rgb="007F93A8"/>
      </left>
      <right style="thin">
        <color rgb="007F93A8"/>
      </right>
      <top style="medium">
        <color rgb="000B2A4A"/>
      </top>
      <bottom style="thin">
        <color rgb="007F93A8"/>
      </bottom>
    </border>
    <border>
      <left style="thin">
        <color rgb="007F93A8"/>
      </left>
      <right style="medium">
        <color rgb="000B2A4A"/>
      </right>
      <top style="medium">
        <color rgb="000B2A4A"/>
      </top>
      <bottom style="thin">
        <color rgb="007F93A8"/>
      </bottom>
    </border>
    <border>
      <left style="medium">
        <color rgb="000B2A4A"/>
      </left>
      <right style="thin">
        <color rgb="007F93A8"/>
      </right>
      <top style="thin">
        <color rgb="007F93A8"/>
      </top>
      <bottom style="thin">
        <color rgb="007F93A8"/>
      </bottom>
    </border>
    <border>
      <left style="thin">
        <color rgb="007F93A8"/>
      </left>
      <right style="medium">
        <color rgb="000B2A4A"/>
      </right>
      <top style="thin">
        <color rgb="007F93A8"/>
      </top>
      <bottom style="thin">
        <color rgb="007F93A8"/>
      </bottom>
    </border>
    <border>
      <left style="medium">
        <color rgb="000B2A4A"/>
      </left>
      <right style="thin">
        <color rgb="007F93A8"/>
      </right>
      <top style="thin">
        <color rgb="007F93A8"/>
      </top>
      <bottom style="medium">
        <color rgb="000B2A4A"/>
      </bottom>
    </border>
    <border>
      <left style="thin">
        <color rgb="007F93A8"/>
      </left>
      <right style="thin">
        <color rgb="007F93A8"/>
      </right>
      <top style="thin">
        <color rgb="007F93A8"/>
      </top>
      <bottom style="medium">
        <color rgb="000B2A4A"/>
      </bottom>
    </border>
    <border>
      <left style="thin">
        <color rgb="007F93A8"/>
      </left>
      <right style="medium">
        <color rgb="000B2A4A"/>
      </right>
      <top style="thin">
        <color rgb="007F93A8"/>
      </top>
      <bottom style="medium">
        <color rgb="000B2A4A"/>
      </bottom>
    </border>
    <border>
      <left style="medium">
        <color rgb="000B2A4A"/>
      </left>
      <right style="thin">
        <color rgb="007F93A8"/>
      </right>
      <top style="medium">
        <color rgb="000B2A4A"/>
      </top>
      <bottom style="medium">
        <color rgb="000B2A4A"/>
      </bottom>
    </border>
    <border>
      <left style="thin">
        <color rgb="007F93A8"/>
      </left>
      <right style="medium">
        <color rgb="000B2A4A"/>
      </right>
      <top style="medium">
        <color rgb="000B2A4A"/>
      </top>
      <bottom style="medium">
        <color rgb="000B2A4A"/>
      </bottom>
    </border>
    <border>
      <bottom style="medium">
        <color rgb="000ACFCF"/>
      </bottom>
    </border>
    <border>
      <bottom style="hair">
        <color rgb="00B8C4CE"/>
      </bottom>
    </border>
    <border>
      <left/>
      <right/>
      <top/>
      <bottom style="medium">
        <color rgb="000ACFCF"/>
      </bottom>
      <diagonal/>
    </border>
    <border>
      <left style="thin">
        <color rgb="00B8C4CE"/>
      </left>
      <right/>
      <top/>
      <bottom/>
      <diagonal/>
    </border>
    <border>
      <left style="thin">
        <color rgb="00B8C4CE"/>
      </left>
      <right style="thin">
        <color rgb="00B8C4CE"/>
      </right>
      <top/>
      <bottom/>
      <diagonal/>
    </border>
    <border>
      <left style="thin">
        <color rgb="00B8C4CE"/>
      </left>
      <right style="thin">
        <color rgb="00B8C4CE"/>
      </right>
      <top/>
      <bottom style="thin">
        <color rgb="00B8C4CE"/>
      </bottom>
      <diagonal/>
    </border>
    <border>
      <left/>
      <right/>
      <top style="thin">
        <color rgb="00B8C4CE"/>
      </top>
      <bottom/>
      <diagonal/>
    </border>
    <border>
      <left/>
      <right style="thin">
        <color rgb="00B8C4CE"/>
      </right>
      <top style="thin">
        <color rgb="00B8C4CE"/>
      </top>
      <bottom/>
      <diagonal/>
    </border>
    <border>
      <left/>
      <right/>
      <top style="thin">
        <color rgb="00B8C4CE"/>
      </top>
      <bottom style="thin">
        <color rgb="00B8C4CE"/>
      </bottom>
      <diagonal/>
    </border>
    <border>
      <left/>
      <right style="thin">
        <color rgb="00B8C4CE"/>
      </right>
      <top style="thin">
        <color rgb="00B8C4CE"/>
      </top>
      <bottom style="thin">
        <color rgb="00B8C4CE"/>
      </bottom>
      <diagonal/>
    </border>
    <border>
      <left/>
      <right/>
      <top style="thin">
        <color indexed="64"/>
      </top>
      <bottom style="medium">
        <color rgb="000B2A4A"/>
      </bottom>
      <diagonal/>
    </border>
    <border>
      <left/>
      <right style="thin">
        <color indexed="64"/>
      </right>
      <top style="thin">
        <color indexed="64"/>
      </top>
      <bottom style="medium">
        <color rgb="000B2A4A"/>
      </bottom>
      <diagonal/>
    </border>
    <border>
      <left/>
      <right/>
      <top style="medium">
        <color rgb="000B2A4A"/>
      </top>
      <bottom/>
      <diagonal/>
    </border>
    <border>
      <left/>
      <right/>
      <top style="medium">
        <color rgb="000B2A4A"/>
      </top>
      <bottom style="medium">
        <color indexed="64"/>
      </bottom>
      <diagonal/>
    </border>
    <border>
      <left style="medium">
        <color rgb="000B2A4A"/>
      </left>
      <right style="medium">
        <color rgb="000B2A4A"/>
      </right>
      <top style="medium">
        <color rgb="000B2A4A"/>
      </top>
      <bottom/>
    </border>
    <border>
      <left/>
      <right style="medium">
        <color rgb="000B2A4A"/>
      </right>
      <top style="medium">
        <color rgb="000B2A4A"/>
      </top>
      <bottom/>
      <diagonal/>
    </border>
    <border>
      <left/>
      <right/>
      <top style="thin">
        <color rgb="007F93A8"/>
      </top>
      <bottom/>
      <diagonal/>
    </border>
    <border>
      <left/>
      <right style="thin">
        <color rgb="007F93A8"/>
      </right>
      <top style="thin">
        <color rgb="007F93A8"/>
      </top>
      <bottom/>
      <diagonal/>
    </border>
    <border>
      <left/>
      <right/>
      <top style="thin">
        <color rgb="007F93A8"/>
      </top>
      <bottom style="thin">
        <color rgb="007F93A8"/>
      </bottom>
      <diagonal/>
    </border>
    <border>
      <left/>
      <right style="thin">
        <color rgb="007F93A8"/>
      </right>
      <top style="thin">
        <color rgb="007F93A8"/>
      </top>
      <bottom style="thin">
        <color rgb="007F93A8"/>
      </bottom>
      <diagonal/>
    </border>
    <border>
      <left/>
      <right/>
      <top style="thin">
        <color rgb="007F93A8"/>
      </top>
      <bottom style="medium">
        <color rgb="000B2A4A"/>
      </bottom>
      <diagonal/>
    </border>
    <border>
      <left/>
      <right style="thin">
        <color rgb="007F93A8"/>
      </right>
      <top style="thin">
        <color rgb="007F93A8"/>
      </top>
      <bottom style="medium">
        <color rgb="000B2A4A"/>
      </bottom>
      <diagonal/>
    </border>
    <border>
      <left/>
      <right style="thin">
        <color rgb="007F93A8"/>
      </right>
      <top style="medium">
        <color rgb="000B2A4A"/>
      </top>
      <bottom/>
      <diagonal/>
    </border>
    <border>
      <left/>
      <right/>
      <top style="medium">
        <color rgb="000B2A4A"/>
      </top>
      <bottom style="thin">
        <color rgb="007F93A8"/>
      </bottom>
      <diagonal/>
    </border>
    <border>
      <left/>
      <right style="thin">
        <color rgb="007F93A8"/>
      </right>
      <top style="medium">
        <color rgb="000B2A4A"/>
      </top>
      <bottom style="thin">
        <color rgb="007F93A8"/>
      </bottom>
      <diagonal/>
    </border>
    <border>
      <left style="medium">
        <color rgb="00000000"/>
      </left>
      <right style="thin">
        <color indexed="64"/>
      </right>
      <top style="medium">
        <color rgb="00000000"/>
      </top>
      <bottom style="thin">
        <color indexed="64"/>
      </bottom>
    </border>
    <border>
      <left style="thin">
        <color indexed="64"/>
      </left>
      <right style="thin">
        <color indexed="64"/>
      </right>
      <top style="medium">
        <color rgb="00000000"/>
      </top>
      <bottom style="thin">
        <color indexed="64"/>
      </bottom>
    </border>
    <border>
      <left/>
      <right/>
      <top style="medium">
        <color rgb="00000000"/>
      </top>
      <bottom style="thin">
        <color indexed="64"/>
      </bottom>
    </border>
    <border>
      <left/>
      <right style="thin">
        <color indexed="64"/>
      </right>
      <top style="medium">
        <color rgb="00000000"/>
      </top>
      <bottom style="thin">
        <color indexed="64"/>
      </bottom>
    </border>
    <border>
      <left style="thin">
        <color indexed="64"/>
      </left>
      <right style="medium">
        <color rgb="00000000"/>
      </right>
      <top style="medium">
        <color rgb="00000000"/>
      </top>
      <bottom style="thin">
        <color indexed="64"/>
      </bottom>
    </border>
    <border>
      <left style="medium">
        <color rgb="00000000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right style="medium">
        <color rgb="00000000"/>
      </right>
      <top style="thin">
        <color indexed="64"/>
      </top>
      <bottom style="thin">
        <color indexed="64"/>
      </bottom>
    </border>
    <border>
      <left style="medium">
        <color rgb="00000000"/>
      </left>
      <right style="thin">
        <color indexed="64"/>
      </right>
      <top/>
      <bottom/>
    </border>
    <border>
      <left style="medium">
        <color rgb="00000000"/>
      </left>
      <right style="thin">
        <color indexed="64"/>
      </right>
      <top/>
      <bottom style="thin">
        <color indexed="64"/>
      </bottom>
    </border>
    <border>
      <left style="medium">
        <color rgb="00000000"/>
      </left>
      <right style="thin">
        <color rgb="007F93A8"/>
      </right>
      <top style="thin">
        <color rgb="007F93A8"/>
      </top>
      <bottom style="medium">
        <color rgb="00000000"/>
      </bottom>
    </border>
    <border>
      <left style="thin">
        <color rgb="007F93A8"/>
      </left>
      <right style="thin">
        <color rgb="007F93A8"/>
      </right>
      <top style="thin">
        <color rgb="007F93A8"/>
      </top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thin">
        <color indexed="64"/>
      </right>
      <top/>
      <bottom style="medium">
        <color rgb="00000000"/>
      </bottom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00000000"/>
      </bottom>
    </border>
    <border>
      <left/>
      <right/>
      <top style="thin">
        <color indexed="64"/>
      </top>
      <bottom style="medium">
        <color rgb="00000000"/>
      </bottom>
    </border>
    <border>
      <left/>
      <right style="thin">
        <color indexed="64"/>
      </right>
      <top style="thin">
        <color indexed="64"/>
      </top>
      <bottom style="medium">
        <color rgb="00000000"/>
      </bottom>
    </border>
    <border>
      <left style="thin">
        <color indexed="64"/>
      </left>
      <right style="medium">
        <color rgb="00000000"/>
      </right>
      <top style="thin">
        <color indexed="64"/>
      </top>
      <bottom style="medium">
        <color rgb="00000000"/>
      </bottom>
    </border>
    <border>
      <left style="medium">
        <color rgb="00000000"/>
      </left>
      <right/>
      <top style="thin">
        <color indexed="64"/>
      </top>
      <bottom style="thin">
        <color indexed="64"/>
      </bottom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</border>
    <border>
      <left style="thin">
        <color indexed="64"/>
      </left>
      <right style="thin">
        <color indexed="64"/>
      </right>
      <top/>
      <bottom/>
    </border>
    <border>
      <left style="thin">
        <color indexed="64"/>
      </left>
      <right/>
      <top/>
      <bottom style="medium">
        <color rgb="00000000"/>
      </bottom>
    </border>
    <border>
      <right/>
      <bottom style="medium">
        <color rgb="000ACFCF"/>
      </bottom>
    </border>
    <border>
      <left/>
      <right/>
      <top style="medium">
        <color rgb="00000000"/>
      </top>
      <bottom/>
      <diagonal/>
    </border>
    <border>
      <left/>
      <right style="thin">
        <color indexed="64"/>
      </right>
      <top style="medium">
        <color rgb="00000000"/>
      </top>
      <bottom/>
      <diagonal/>
    </border>
    <border>
      <left/>
      <right/>
      <top style="medium">
        <color rgb="00000000"/>
      </top>
      <bottom style="thin">
        <color indexed="64"/>
      </bottom>
      <diagonal/>
    </border>
    <border>
      <left/>
      <right style="thin">
        <color indexed="64"/>
      </right>
      <top style="medium">
        <color rgb="00000000"/>
      </top>
      <bottom style="thin">
        <color indexed="64"/>
      </bottom>
      <diagonal/>
    </border>
    <border>
      <left/>
      <right/>
      <top style="thin">
        <color indexed="64"/>
      </top>
      <bottom style="medium">
        <color rgb="00000000"/>
      </bottom>
      <diagonal/>
    </border>
    <border>
      <left/>
      <right style="thin">
        <color indexed="64"/>
      </right>
      <top style="thin">
        <color indexed="64"/>
      </top>
      <bottom style="medium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thin">
        <color indexed="64"/>
      </right>
      <top/>
      <bottom/>
      <diagonal/>
    </border>
    <border>
      <left style="medium">
        <color rgb="00000000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007F93A8"/>
      </top>
      <bottom style="medium">
        <color rgb="00000000"/>
      </bottom>
      <diagonal/>
    </border>
    <border>
      <left/>
      <right style="thin">
        <color rgb="007F93A8"/>
      </right>
      <top style="thin">
        <color rgb="007F93A8"/>
      </top>
      <bottom style="medium">
        <color rgb="00000000"/>
      </bottom>
      <diagonal/>
    </border>
    <border>
      <left style="medium">
        <color rgb="000B2A4A"/>
      </left>
      <right/>
      <top/>
      <bottom/>
      <diagonal/>
    </border>
    <border>
      <left/>
      <right style="thin">
        <color rgb="007F93A8"/>
      </right>
      <top/>
      <bottom/>
      <diagonal/>
    </border>
    <border>
      <left style="medium">
        <color rgb="000B2A4A"/>
      </left>
      <right/>
      <top/>
      <bottom style="thin">
        <color rgb="007F93A8"/>
      </bottom>
      <diagonal/>
    </border>
    <border>
      <left/>
      <right/>
      <top/>
      <bottom style="thin">
        <color rgb="007F93A8"/>
      </bottom>
      <diagonal/>
    </border>
    <border>
      <left/>
      <right style="thin">
        <color rgb="007F93A8"/>
      </right>
      <top/>
      <bottom style="thin">
        <color rgb="007F93A8"/>
      </bottom>
      <diagonal/>
    </border>
  </borders>
  <cellStyleXfs count="2">
    <xf numFmtId="0" fontId="0" fillId="0" borderId="0"/>
    <xf numFmtId="0" fontId="2" fillId="0" borderId="0"/>
  </cellStyleXfs>
  <cellXfs count="556">
    <xf numFmtId="0" fontId="0" fillId="0" borderId="0" pivotButton="0" quotePrefix="0" xfId="0"/>
    <xf numFmtId="0" fontId="0" fillId="0" borderId="5" pivotButton="0" quotePrefix="0" xfId="0"/>
    <xf numFmtId="0" fontId="0" fillId="0" borderId="7" pivotButton="0" quotePrefix="0" xfId="0"/>
    <xf numFmtId="0" fontId="0" fillId="0" borderId="6" pivotButton="0" quotePrefix="0" xfId="0"/>
    <xf numFmtId="9" fontId="0" fillId="0" borderId="5" pivotButton="0" quotePrefix="0" xfId="0"/>
    <xf numFmtId="0" fontId="0" fillId="0" borderId="5" applyAlignment="1" pivotButton="0" quotePrefix="0" xfId="0">
      <alignment horizontal="left"/>
    </xf>
    <xf numFmtId="0" fontId="0" fillId="0" borderId="3" applyAlignment="1" pivotButton="0" quotePrefix="0" xfId="0">
      <alignment horizontal="left"/>
    </xf>
    <xf numFmtId="0" fontId="1" fillId="0" borderId="0" pivotButton="0" quotePrefix="0" xfId="0"/>
    <xf numFmtId="0" fontId="1" fillId="3" borderId="5" pivotButton="0" quotePrefix="0" xfId="0"/>
    <xf numFmtId="0" fontId="3" fillId="4" borderId="5" applyAlignment="1" pivotButton="0" quotePrefix="0" xfId="1">
      <alignment horizontal="center" vertical="center"/>
    </xf>
    <xf numFmtId="0" fontId="3" fillId="4" borderId="5" applyAlignment="1" pivotButton="0" quotePrefix="0" xfId="0">
      <alignment horizontal="center" vertical="center"/>
    </xf>
    <xf numFmtId="0" fontId="4" fillId="0" borderId="9" applyAlignment="1" pivotButton="0" quotePrefix="0" xfId="1">
      <alignment horizontal="center" vertical="center"/>
    </xf>
    <xf numFmtId="0" fontId="5" fillId="0" borderId="5" applyAlignment="1" pivotButton="0" quotePrefix="0" xfId="1">
      <alignment horizontal="center" vertical="center"/>
    </xf>
    <xf numFmtId="4" fontId="5" fillId="0" borderId="5" applyAlignment="1" pivotButton="0" quotePrefix="0" xfId="1">
      <alignment horizontal="center" vertical="center"/>
    </xf>
    <xf numFmtId="4" fontId="5" fillId="0" borderId="13" applyAlignment="1" pivotButton="0" quotePrefix="0" xfId="1">
      <alignment horizontal="center" vertical="center"/>
    </xf>
    <xf numFmtId="0" fontId="4" fillId="0" borderId="10" applyAlignment="1" pivotButton="0" quotePrefix="0" xfId="1">
      <alignment horizontal="center" vertical="center"/>
    </xf>
    <xf numFmtId="3" fontId="5" fillId="0" borderId="5" applyAlignment="1" pivotButton="0" quotePrefix="0" xfId="1">
      <alignment horizontal="center" vertical="center"/>
    </xf>
    <xf numFmtId="4" fontId="4" fillId="4" borderId="5" applyAlignment="1" pivotButton="0" quotePrefix="0" xfId="1">
      <alignment horizontal="center" vertical="center"/>
    </xf>
    <xf numFmtId="0" fontId="3" fillId="4" borderId="14" applyAlignment="1" pivotButton="0" quotePrefix="0" xfId="1">
      <alignment horizontal="center" vertical="center"/>
    </xf>
    <xf numFmtId="0" fontId="3" fillId="4" borderId="15" applyAlignment="1" pivotButton="0" quotePrefix="0" xfId="1">
      <alignment horizontal="center" vertical="center"/>
    </xf>
    <xf numFmtId="0" fontId="3" fillId="4" borderId="15" applyAlignment="1" pivotButton="0" quotePrefix="0" xfId="0">
      <alignment horizontal="center" vertical="center"/>
    </xf>
    <xf numFmtId="0" fontId="3" fillId="4" borderId="16" applyAlignment="1" pivotButton="0" quotePrefix="0" xfId="0">
      <alignment horizontal="center" vertical="center"/>
    </xf>
    <xf numFmtId="0" fontId="3" fillId="5" borderId="18" applyAlignment="1" pivotButton="0" quotePrefix="0" xfId="1">
      <alignment horizontal="center" vertical="center"/>
    </xf>
    <xf numFmtId="0" fontId="4" fillId="0" borderId="5" applyAlignment="1" pivotButton="0" quotePrefix="0" xfId="1">
      <alignment horizontal="center" vertical="center"/>
    </xf>
    <xf numFmtId="4" fontId="5" fillId="0" borderId="18" applyAlignment="1" pivotButton="0" quotePrefix="0" xfId="1">
      <alignment horizontal="center" vertical="center"/>
    </xf>
    <xf numFmtId="4" fontId="4" fillId="4" borderId="18" applyAlignment="1" pivotButton="0" quotePrefix="0" xfId="1">
      <alignment horizontal="center" vertical="center"/>
    </xf>
    <xf numFmtId="0" fontId="4" fillId="5" borderId="21" applyAlignment="1" pivotButton="0" quotePrefix="0" xfId="1">
      <alignment horizontal="center" vertical="center"/>
    </xf>
    <xf numFmtId="0" fontId="4" fillId="0" borderId="6" applyAlignment="1" pivotButton="0" quotePrefix="0" xfId="1">
      <alignment horizontal="center" vertical="center"/>
    </xf>
    <xf numFmtId="0" fontId="3" fillId="4" borderId="11" applyAlignment="1" pivotButton="0" quotePrefix="0" xfId="1">
      <alignment horizontal="center" vertical="center"/>
    </xf>
    <xf numFmtId="164" fontId="1" fillId="0" borderId="5" pivotButton="0" quotePrefix="0" xfId="0"/>
    <xf numFmtId="164" fontId="0" fillId="0" borderId="4" pivotButton="0" quotePrefix="0" xfId="0"/>
    <xf numFmtId="164" fontId="0" fillId="0" borderId="5" pivotButton="0" quotePrefix="0" xfId="0"/>
    <xf numFmtId="164" fontId="0" fillId="0" borderId="0" pivotButton="0" quotePrefix="0" xfId="0"/>
    <xf numFmtId="0" fontId="1" fillId="0" borderId="23" pivotButton="0" quotePrefix="0" xfId="0"/>
    <xf numFmtId="165" fontId="0" fillId="0" borderId="5" pivotButton="0" quotePrefix="0" xfId="0"/>
    <xf numFmtId="165" fontId="1" fillId="0" borderId="18" pivotButton="0" quotePrefix="0" xfId="0"/>
    <xf numFmtId="165" fontId="1" fillId="0" borderId="28" pivotButton="0" quotePrefix="0" xfId="0"/>
    <xf numFmtId="0" fontId="0" fillId="0" borderId="9" pivotButton="0" quotePrefix="0" xfId="0"/>
    <xf numFmtId="10" fontId="0" fillId="0" borderId="9" pivotButton="0" quotePrefix="0" xfId="0"/>
    <xf numFmtId="165" fontId="0" fillId="0" borderId="0" pivotButton="0" quotePrefix="0" xfId="0"/>
    <xf numFmtId="165" fontId="1" fillId="0" borderId="4" pivotButton="0" quotePrefix="0" xfId="0"/>
    <xf numFmtId="165" fontId="1" fillId="0" borderId="31" applyAlignment="1" pivotButton="0" quotePrefix="0" xfId="0">
      <alignment horizontal="left"/>
    </xf>
    <xf numFmtId="0" fontId="1" fillId="0" borderId="32" applyAlignment="1" pivotButton="0" quotePrefix="0" xfId="0">
      <alignment vertical="center"/>
    </xf>
    <xf numFmtId="165" fontId="1" fillId="0" borderId="33" applyAlignment="1" pivotButton="0" quotePrefix="0" xfId="0">
      <alignment horizontal="left"/>
    </xf>
    <xf numFmtId="165" fontId="1" fillId="0" borderId="28" applyAlignment="1" pivotButton="0" quotePrefix="0" xfId="0">
      <alignment horizontal="left"/>
    </xf>
    <xf numFmtId="0" fontId="1" fillId="0" borderId="3" applyAlignment="1" pivotButton="0" quotePrefix="0" xfId="0">
      <alignment horizontal="right"/>
    </xf>
    <xf numFmtId="0" fontId="1" fillId="0" borderId="0" applyAlignment="1" pivotButton="0" quotePrefix="0" xfId="0">
      <alignment horizontal="left"/>
    </xf>
    <xf numFmtId="165" fontId="1" fillId="0" borderId="0" applyAlignment="1" pivotButton="0" quotePrefix="0" xfId="0">
      <alignment horizontal="left"/>
    </xf>
    <xf numFmtId="0" fontId="0" fillId="0" borderId="12" pivotButton="0" quotePrefix="0" xfId="0"/>
    <xf numFmtId="0" fontId="1" fillId="0" borderId="34" pivotButton="0" quotePrefix="0" xfId="0"/>
    <xf numFmtId="165" fontId="1" fillId="0" borderId="16" pivotButton="0" quotePrefix="0" xfId="0"/>
    <xf numFmtId="165" fontId="1" fillId="0" borderId="5" pivotButton="0" quotePrefix="0" xfId="0"/>
    <xf numFmtId="165" fontId="1" fillId="0" borderId="0" pivotButton="0" quotePrefix="0" xfId="0"/>
    <xf numFmtId="165" fontId="1" fillId="3" borderId="0" pivotButton="0" quotePrefix="0" xfId="0"/>
    <xf numFmtId="165" fontId="1" fillId="3" borderId="5" pivotButton="0" quotePrefix="0" xfId="0"/>
    <xf numFmtId="165" fontId="1" fillId="0" borderId="35" pivotButton="0" quotePrefix="0" xfId="0"/>
    <xf numFmtId="165" fontId="0" fillId="0" borderId="4" pivotButton="0" quotePrefix="0" xfId="0"/>
    <xf numFmtId="0" fontId="1" fillId="3" borderId="0" pivotButton="0" quotePrefix="0" xfId="0"/>
    <xf numFmtId="165" fontId="1" fillId="0" borderId="36" pivotButton="0" quotePrefix="0" xfId="0"/>
    <xf numFmtId="0" fontId="0" fillId="0" borderId="11" applyAlignment="1" pivotButton="0" quotePrefix="0" xfId="0">
      <alignment horizontal="left"/>
    </xf>
    <xf numFmtId="165" fontId="1" fillId="0" borderId="37" pivotButton="0" quotePrefix="0" xfId="0"/>
    <xf numFmtId="1" fontId="0" fillId="0" borderId="0" pivotButton="0" quotePrefix="0" xfId="0"/>
    <xf numFmtId="165" fontId="1" fillId="0" borderId="23" pivotButton="0" quotePrefix="0" xfId="0"/>
    <xf numFmtId="165" fontId="1" fillId="8" borderId="5" pivotButton="0" quotePrefix="0" xfId="0"/>
    <xf numFmtId="165" fontId="1" fillId="0" borderId="23" applyAlignment="1" pivotButton="0" quotePrefix="0" xfId="0">
      <alignment horizontal="left"/>
    </xf>
    <xf numFmtId="165" fontId="1" fillId="0" borderId="18" applyAlignment="1" pivotButton="0" quotePrefix="0" xfId="0">
      <alignment horizontal="left"/>
    </xf>
    <xf numFmtId="0" fontId="1" fillId="2" borderId="0" pivotButton="0" quotePrefix="0" xfId="0"/>
    <xf numFmtId="165" fontId="0" fillId="0" borderId="23" pivotButton="0" quotePrefix="0" xfId="0"/>
    <xf numFmtId="165" fontId="0" fillId="0" borderId="18" pivotButton="0" quotePrefix="0" xfId="0"/>
    <xf numFmtId="165" fontId="0" fillId="0" borderId="28" pivotButton="0" quotePrefix="0" xfId="0"/>
    <xf numFmtId="164" fontId="0" fillId="6" borderId="5" pivotButton="0" quotePrefix="0" xfId="0"/>
    <xf numFmtId="164" fontId="0" fillId="6" borderId="11" pivotButton="0" quotePrefix="0" xfId="0"/>
    <xf numFmtId="165" fontId="1" fillId="6" borderId="5" pivotButton="0" quotePrefix="0" xfId="0"/>
    <xf numFmtId="0" fontId="9" fillId="0" borderId="5" applyAlignment="1" pivotButton="0" quotePrefix="0" xfId="0">
      <alignment vertical="center"/>
    </xf>
    <xf numFmtId="2" fontId="0" fillId="0" borderId="0" pivotButton="0" quotePrefix="0" xfId="0"/>
    <xf numFmtId="0" fontId="15" fillId="0" borderId="0" pivotButton="0" quotePrefix="0" xfId="0"/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11" fillId="0" borderId="0" pivotButton="0" quotePrefix="0" xfId="0"/>
    <xf numFmtId="0" fontId="13" fillId="10" borderId="40" applyAlignment="1" pivotButton="0" quotePrefix="0" xfId="0">
      <alignment horizontal="center" vertical="center" wrapText="1"/>
    </xf>
    <xf numFmtId="0" fontId="0" fillId="9" borderId="40" pivotButton="0" quotePrefix="0" xfId="0"/>
    <xf numFmtId="14" fontId="0" fillId="9" borderId="40" pivotButton="0" quotePrefix="0" xfId="0"/>
    <xf numFmtId="166" fontId="0" fillId="9" borderId="40" pivotButton="0" quotePrefix="0" xfId="0"/>
    <xf numFmtId="0" fontId="12" fillId="11" borderId="40" pivotButton="0" quotePrefix="0" xfId="0"/>
    <xf numFmtId="0" fontId="0" fillId="11" borderId="40" pivotButton="0" quotePrefix="0" xfId="0"/>
    <xf numFmtId="166" fontId="12" fillId="11" borderId="40" pivotButton="0" quotePrefix="0" xfId="0"/>
    <xf numFmtId="166" fontId="0" fillId="11" borderId="40" pivotButton="0" quotePrefix="0" xfId="0"/>
    <xf numFmtId="0" fontId="12" fillId="0" borderId="0" pivotButton="0" quotePrefix="0" xfId="0"/>
    <xf numFmtId="166" fontId="0" fillId="0" borderId="0" pivotButton="0" quotePrefix="0" xfId="0"/>
    <xf numFmtId="0" fontId="14" fillId="0" borderId="0" pivotButton="0" quotePrefix="0" xfId="0"/>
    <xf numFmtId="10" fontId="0" fillId="0" borderId="0" pivotButton="0" quotePrefix="0" xfId="0"/>
    <xf numFmtId="0" fontId="0" fillId="0" borderId="40" pivotButton="0" quotePrefix="0" xfId="0"/>
    <xf numFmtId="166" fontId="0" fillId="0" borderId="40" pivotButton="0" quotePrefix="0" xfId="0"/>
    <xf numFmtId="10" fontId="0" fillId="0" borderId="40" pivotButton="0" quotePrefix="0" xfId="0"/>
    <xf numFmtId="1" fontId="0" fillId="9" borderId="40" pivotButton="0" quotePrefix="0" xfId="0"/>
    <xf numFmtId="3" fontId="0" fillId="0" borderId="0" pivotButton="0" quotePrefix="0" xfId="0"/>
    <xf numFmtId="3" fontId="0" fillId="9" borderId="40" pivotButton="0" quotePrefix="0" xfId="0"/>
    <xf numFmtId="10" fontId="0" fillId="9" borderId="40" pivotButton="0" quotePrefix="0" xfId="0"/>
    <xf numFmtId="14" fontId="0" fillId="0" borderId="40" pivotButton="0" quotePrefix="0" xfId="0"/>
    <xf numFmtId="0" fontId="3" fillId="5" borderId="3" applyAlignment="1" pivotButton="0" quotePrefix="0" xfId="1">
      <alignment horizontal="center" vertical="center"/>
    </xf>
    <xf numFmtId="0" fontId="0" fillId="0" borderId="12" pivotButton="0" quotePrefix="0" xfId="0"/>
    <xf numFmtId="0" fontId="4" fillId="0" borderId="5" applyAlignment="1" pivotButton="0" quotePrefix="0" xfId="1">
      <alignment horizontal="center" vertical="center"/>
    </xf>
    <xf numFmtId="0" fontId="0" fillId="0" borderId="4" pivotButton="0" quotePrefix="0" xfId="0"/>
    <xf numFmtId="0" fontId="4" fillId="4" borderId="5" applyAlignment="1" pivotButton="0" quotePrefix="0" xfId="1">
      <alignment horizontal="right" vertical="center"/>
    </xf>
    <xf numFmtId="0" fontId="5" fillId="0" borderId="5" applyAlignment="1" pivotButton="0" quotePrefix="0" xfId="1">
      <alignment horizontal="left" vertical="center"/>
    </xf>
    <xf numFmtId="0" fontId="3" fillId="4" borderId="5" applyAlignment="1" pivotButton="0" quotePrefix="0" xfId="0">
      <alignment horizontal="center" vertical="center"/>
    </xf>
    <xf numFmtId="0" fontId="3" fillId="5" borderId="17" applyAlignment="1" pivotButton="0" quotePrefix="0" xfId="1">
      <alignment horizontal="center" vertical="center"/>
    </xf>
    <xf numFmtId="0" fontId="4" fillId="0" borderId="17" applyAlignment="1" pivotButton="0" quotePrefix="0" xfId="1">
      <alignment horizontal="center" vertical="center"/>
    </xf>
    <xf numFmtId="0" fontId="0" fillId="0" borderId="38" pivotButton="0" quotePrefix="0" xfId="0"/>
    <xf numFmtId="0" fontId="0" fillId="0" borderId="30" pivotButton="0" quotePrefix="0" xfId="0"/>
    <xf numFmtId="0" fontId="4" fillId="5" borderId="3" applyAlignment="1" pivotButton="0" quotePrefix="0" xfId="1">
      <alignment horizontal="center" vertical="center"/>
    </xf>
    <xf numFmtId="0" fontId="0" fillId="0" borderId="10" pivotButton="0" quotePrefix="0" xfId="0"/>
    <xf numFmtId="0" fontId="0" fillId="0" borderId="11" pivotButton="0" quotePrefix="0" xfId="0"/>
    <xf numFmtId="0" fontId="4" fillId="5" borderId="19" applyAlignment="1" pivotButton="0" quotePrefix="0" xfId="1">
      <alignment horizontal="center" vertical="center"/>
    </xf>
    <xf numFmtId="0" fontId="0" fillId="0" borderId="20" pivotButton="0" quotePrefix="0" xfId="0"/>
    <xf numFmtId="0" fontId="3" fillId="4" borderId="15" applyAlignment="1" pivotButton="0" quotePrefix="0" xfId="0">
      <alignment horizontal="center" vertical="center"/>
    </xf>
    <xf numFmtId="0" fontId="0" fillId="0" borderId="22" pivotButton="0" quotePrefix="0" xfId="0"/>
    <xf numFmtId="0" fontId="0" fillId="0" borderId="34" pivotButton="0" quotePrefix="0" xfId="0"/>
    <xf numFmtId="0" fontId="1" fillId="0" borderId="39" applyAlignment="1" pivotButton="0" quotePrefix="0" xfId="0">
      <alignment horizontal="center" vertical="center"/>
    </xf>
    <xf numFmtId="0" fontId="0" fillId="0" borderId="26" pivotButton="0" quotePrefix="0" xfId="0"/>
    <xf numFmtId="0" fontId="0" fillId="0" borderId="39" pivotButton="0" quotePrefix="0" xfId="0"/>
    <xf numFmtId="0" fontId="1" fillId="0" borderId="9" applyAlignment="1" pivotButton="0" quotePrefix="0" xfId="0">
      <alignment horizontal="right"/>
    </xf>
    <xf numFmtId="0" fontId="0" fillId="0" borderId="1" pivotButton="0" quotePrefix="0" xfId="0"/>
    <xf numFmtId="0" fontId="0" fillId="0" borderId="2" pivotButton="0" quotePrefix="0" xfId="0"/>
    <xf numFmtId="0" fontId="1" fillId="0" borderId="4" applyAlignment="1" pivotButton="0" quotePrefix="0" xfId="0">
      <alignment horizontal="left"/>
    </xf>
    <xf numFmtId="0" fontId="1" fillId="0" borderId="24" applyAlignment="1" pivotButton="0" quotePrefix="0" xfId="0">
      <alignment horizontal="left"/>
    </xf>
    <xf numFmtId="0" fontId="0" fillId="0" borderId="29" pivotButton="0" quotePrefix="0" xfId="0"/>
    <xf numFmtId="0" fontId="0" fillId="0" borderId="24" pivotButton="0" quotePrefix="0" xfId="0"/>
    <xf numFmtId="0" fontId="0" fillId="0" borderId="11" applyAlignment="1" pivotButton="0" quotePrefix="0" xfId="0">
      <alignment horizontal="left"/>
    </xf>
    <xf numFmtId="0" fontId="0" fillId="0" borderId="7" pivotButton="0" quotePrefix="0" xfId="0"/>
    <xf numFmtId="0" fontId="0" fillId="0" borderId="8" pivotButton="0" quotePrefix="0" xfId="0"/>
    <xf numFmtId="0" fontId="1" fillId="0" borderId="5" applyAlignment="1" pivotButton="0" quotePrefix="0" xfId="0">
      <alignment horizontal="right"/>
    </xf>
    <xf numFmtId="0" fontId="1" fillId="0" borderId="8" applyAlignment="1" pivotButton="0" quotePrefix="0" xfId="0">
      <alignment horizontal="left"/>
    </xf>
    <xf numFmtId="0" fontId="1" fillId="2" borderId="0" applyAlignment="1" pivotButton="0" quotePrefix="0" xfId="0">
      <alignment horizontal="center" wrapText="1"/>
    </xf>
    <xf numFmtId="0" fontId="0" fillId="0" borderId="0" pivotButton="0" quotePrefix="0" xfId="0"/>
    <xf numFmtId="0" fontId="1" fillId="0" borderId="5" applyAlignment="1" pivotButton="0" quotePrefix="0" xfId="0">
      <alignment horizontal="center"/>
    </xf>
    <xf numFmtId="0" fontId="1" fillId="0" borderId="39" applyAlignment="1" pivotButton="0" quotePrefix="0" xfId="0">
      <alignment horizontal="center"/>
    </xf>
    <xf numFmtId="0" fontId="0" fillId="0" borderId="5" applyAlignment="1" pivotButton="0" quotePrefix="0" xfId="0">
      <alignment horizontal="left"/>
    </xf>
    <xf numFmtId="0" fontId="1" fillId="3" borderId="33" applyAlignment="1" pivotButton="0" quotePrefix="0" xfId="0">
      <alignment horizontal="center" vertical="center"/>
    </xf>
    <xf numFmtId="0" fontId="0" fillId="0" borderId="27" pivotButton="0" quotePrefix="0" xfId="0"/>
    <xf numFmtId="0" fontId="1" fillId="2" borderId="5" applyAlignment="1" pivotButton="0" quotePrefix="0" xfId="0">
      <alignment horizontal="right"/>
    </xf>
    <xf numFmtId="0" fontId="6" fillId="7" borderId="20" applyAlignment="1" pivotButton="0" quotePrefix="0" xfId="0">
      <alignment horizontal="center"/>
    </xf>
    <xf numFmtId="0" fontId="8" fillId="7" borderId="0" applyAlignment="1" pivotButton="0" quotePrefix="0" xfId="0">
      <alignment horizontal="center"/>
    </xf>
    <xf numFmtId="0" fontId="7" fillId="0" borderId="5" applyAlignment="1" pivotButton="0" quotePrefix="0" xfId="0">
      <alignment horizontal="left"/>
    </xf>
    <xf numFmtId="0" fontId="1" fillId="2" borderId="4" applyAlignment="1" pivotButton="0" quotePrefix="0" xfId="0">
      <alignment horizontal="right"/>
    </xf>
    <xf numFmtId="0" fontId="1" fillId="0" borderId="25" applyAlignment="1" pivotButton="0" quotePrefix="0" xfId="0">
      <alignment horizontal="left"/>
    </xf>
    <xf numFmtId="0" fontId="0" fillId="0" borderId="25" pivotButton="0" quotePrefix="0" xfId="0"/>
    <xf numFmtId="0" fontId="0" fillId="0" borderId="4" applyAlignment="1" pivotButton="0" quotePrefix="0" xfId="0">
      <alignment horizontal="left"/>
    </xf>
    <xf numFmtId="0" fontId="1" fillId="2" borderId="33" applyAlignment="1" pivotButton="0" quotePrefix="0" xfId="0">
      <alignment horizontal="right"/>
    </xf>
    <xf numFmtId="0" fontId="13" fillId="10" borderId="0" applyAlignment="1" pivotButton="0" quotePrefix="0" xfId="0">
      <alignment horizontal="center"/>
    </xf>
    <xf numFmtId="164" fontId="0" fillId="6" borderId="5" pivotButton="0" quotePrefix="0" xfId="0"/>
    <xf numFmtId="164" fontId="0" fillId="0" borderId="5" pivotButton="0" quotePrefix="0" xfId="0"/>
    <xf numFmtId="165" fontId="0" fillId="0" borderId="5" pivotButton="0" quotePrefix="0" xfId="0"/>
    <xf numFmtId="165" fontId="1" fillId="0" borderId="18" pivotButton="0" quotePrefix="0" xfId="0"/>
    <xf numFmtId="164" fontId="0" fillId="0" borderId="0" pivotButton="0" quotePrefix="0" xfId="0"/>
    <xf numFmtId="165" fontId="1" fillId="0" borderId="28" pivotButton="0" quotePrefix="0" xfId="0"/>
    <xf numFmtId="165" fontId="0" fillId="0" borderId="0" pivotButton="0" quotePrefix="0" xfId="0"/>
    <xf numFmtId="165" fontId="1" fillId="0" borderId="4" pivotButton="0" quotePrefix="0" xfId="0"/>
    <xf numFmtId="165" fontId="1" fillId="0" borderId="31" applyAlignment="1" pivotButton="0" quotePrefix="0" xfId="0">
      <alignment horizontal="left"/>
    </xf>
    <xf numFmtId="164" fontId="0" fillId="0" borderId="4" pivotButton="0" quotePrefix="0" xfId="0"/>
    <xf numFmtId="165" fontId="1" fillId="0" borderId="33" applyAlignment="1" pivotButton="0" quotePrefix="0" xfId="0">
      <alignment horizontal="left"/>
    </xf>
    <xf numFmtId="164" fontId="1" fillId="0" borderId="5" pivotButton="0" quotePrefix="0" xfId="0"/>
    <xf numFmtId="165" fontId="1" fillId="0" borderId="28" applyAlignment="1" pivotButton="0" quotePrefix="0" xfId="0">
      <alignment horizontal="left"/>
    </xf>
    <xf numFmtId="165" fontId="1" fillId="0" borderId="0" applyAlignment="1" pivotButton="0" quotePrefix="0" xfId="0">
      <alignment horizontal="left"/>
    </xf>
    <xf numFmtId="165" fontId="1" fillId="0" borderId="16" pivotButton="0" quotePrefix="0" xfId="0"/>
    <xf numFmtId="165" fontId="1" fillId="0" borderId="5" pivotButton="0" quotePrefix="0" xfId="0"/>
    <xf numFmtId="165" fontId="1" fillId="0" borderId="0" pivotButton="0" quotePrefix="0" xfId="0"/>
    <xf numFmtId="165" fontId="1" fillId="3" borderId="0" pivotButton="0" quotePrefix="0" xfId="0"/>
    <xf numFmtId="165" fontId="1" fillId="3" borderId="5" pivotButton="0" quotePrefix="0" xfId="0"/>
    <xf numFmtId="165" fontId="1" fillId="0" borderId="35" pivotButton="0" quotePrefix="0" xfId="0"/>
    <xf numFmtId="165" fontId="0" fillId="0" borderId="4" pivotButton="0" quotePrefix="0" xfId="0"/>
    <xf numFmtId="165" fontId="1" fillId="0" borderId="36" pivotButton="0" quotePrefix="0" xfId="0"/>
    <xf numFmtId="164" fontId="0" fillId="6" borderId="11" pivotButton="0" quotePrefix="0" xfId="0"/>
    <xf numFmtId="165" fontId="1" fillId="0" borderId="37" pivotButton="0" quotePrefix="0" xfId="0"/>
    <xf numFmtId="165" fontId="1" fillId="0" borderId="23" pivotButton="0" quotePrefix="0" xfId="0"/>
    <xf numFmtId="165" fontId="1" fillId="8" borderId="5" pivotButton="0" quotePrefix="0" xfId="0"/>
    <xf numFmtId="165" fontId="1" fillId="6" borderId="5" pivotButton="0" quotePrefix="0" xfId="0"/>
    <xf numFmtId="165" fontId="1" fillId="0" borderId="23" applyAlignment="1" pivotButton="0" quotePrefix="0" xfId="0">
      <alignment horizontal="left"/>
    </xf>
    <xf numFmtId="165" fontId="1" fillId="0" borderId="18" applyAlignment="1" pivotButton="0" quotePrefix="0" xfId="0">
      <alignment horizontal="left"/>
    </xf>
    <xf numFmtId="165" fontId="0" fillId="0" borderId="23" pivotButton="0" quotePrefix="0" xfId="0"/>
    <xf numFmtId="165" fontId="0" fillId="0" borderId="18" pivotButton="0" quotePrefix="0" xfId="0"/>
    <xf numFmtId="165" fontId="0" fillId="0" borderId="28" pivotButton="0" quotePrefix="0" xfId="0"/>
    <xf numFmtId="166" fontId="0" fillId="9" borderId="40" pivotButton="0" quotePrefix="0" xfId="0"/>
    <xf numFmtId="166" fontId="12" fillId="11" borderId="40" pivotButton="0" quotePrefix="0" xfId="0"/>
    <xf numFmtId="166" fontId="0" fillId="11" borderId="40" pivotButton="0" quotePrefix="0" xfId="0"/>
    <xf numFmtId="166" fontId="0" fillId="0" borderId="0" pivotButton="0" quotePrefix="0" xfId="0"/>
    <xf numFmtId="166" fontId="0" fillId="0" borderId="40" pivotButton="0" quotePrefix="0" xfId="0"/>
    <xf numFmtId="0" fontId="3" fillId="4" borderId="0" applyAlignment="1" pivotButton="0" quotePrefix="0" xfId="0">
      <alignment horizontal="center" vertical="center"/>
    </xf>
    <xf numFmtId="0" fontId="0" fillId="12" borderId="0" pivotButton="0" quotePrefix="0" xfId="0"/>
    <xf numFmtId="0" fontId="26" fillId="12" borderId="0" applyAlignment="1" pivotButton="0" quotePrefix="0" xfId="0">
      <alignment vertical="bottom"/>
    </xf>
    <xf numFmtId="0" fontId="0" fillId="19" borderId="0" pivotButton="0" quotePrefix="0" xfId="0"/>
    <xf numFmtId="0" fontId="25" fillId="19" borderId="0" applyAlignment="1" pivotButton="0" quotePrefix="0" xfId="0">
      <alignment vertical="center"/>
    </xf>
    <xf numFmtId="0" fontId="27" fillId="0" borderId="0" applyAlignment="1" pivotButton="0" quotePrefix="0" xfId="0">
      <alignment horizontal="left" vertical="center" wrapText="1"/>
    </xf>
    <xf numFmtId="0" fontId="28" fillId="0" borderId="118" pivotButton="0" quotePrefix="0" xfId="0"/>
    <xf numFmtId="0" fontId="19" fillId="16" borderId="46" applyAlignment="1" pivotButton="0" quotePrefix="0" xfId="0">
      <alignment horizontal="center" vertical="center"/>
    </xf>
    <xf numFmtId="0" fontId="16" fillId="0" borderId="119" applyAlignment="1" pivotButton="0" quotePrefix="0" xfId="0">
      <alignment horizontal="left" vertical="center" wrapText="1"/>
    </xf>
    <xf numFmtId="0" fontId="19" fillId="17" borderId="46" applyAlignment="1" pivotButton="0" quotePrefix="0" xfId="0">
      <alignment horizontal="center" vertical="center"/>
    </xf>
    <xf numFmtId="0" fontId="17" fillId="12" borderId="46" applyAlignment="1" pivotButton="0" quotePrefix="0" xfId="0">
      <alignment horizontal="center" vertical="center"/>
    </xf>
    <xf numFmtId="0" fontId="16" fillId="0" borderId="0" applyAlignment="1" pivotButton="0" quotePrefix="0" xfId="0">
      <alignment horizontal="left" vertical="center" wrapText="1"/>
    </xf>
    <xf numFmtId="0" fontId="29" fillId="14" borderId="46" applyAlignment="1" pivotButton="0" quotePrefix="0" xfId="0">
      <alignment horizontal="left" vertical="center" wrapText="1"/>
    </xf>
    <xf numFmtId="0" fontId="16" fillId="14" borderId="46" applyAlignment="1" pivotButton="0" quotePrefix="0" xfId="0">
      <alignment horizontal="left" vertical="center" wrapText="1"/>
    </xf>
    <xf numFmtId="0" fontId="29" fillId="15" borderId="46" applyAlignment="1" pivotButton="0" quotePrefix="0" xfId="0">
      <alignment horizontal="left" vertical="center" wrapText="1"/>
    </xf>
    <xf numFmtId="0" fontId="16" fillId="15" borderId="46" applyAlignment="1" pivotButton="0" quotePrefix="0" xfId="0">
      <alignment horizontal="left" vertical="center" wrapText="1"/>
    </xf>
    <xf numFmtId="0" fontId="17" fillId="13" borderId="46" applyAlignment="1" pivotButton="0" quotePrefix="0" xfId="0">
      <alignment horizontal="left" vertical="center" wrapText="1"/>
    </xf>
    <xf numFmtId="0" fontId="17" fillId="12" borderId="46" applyAlignment="1" pivotButton="0" quotePrefix="0" xfId="0">
      <alignment horizontal="center" vertical="center" wrapText="1"/>
    </xf>
    <xf numFmtId="0" fontId="19" fillId="14" borderId="46" applyAlignment="1" pivotButton="0" quotePrefix="0" xfId="0">
      <alignment horizontal="left" vertical="center" wrapText="1"/>
    </xf>
    <xf numFmtId="0" fontId="20" fillId="14" borderId="46" applyAlignment="1" pivotButton="0" quotePrefix="0" xfId="0">
      <alignment horizontal="left" vertical="center" wrapText="1"/>
    </xf>
    <xf numFmtId="0" fontId="19" fillId="15" borderId="46" applyAlignment="1" pivotButton="0" quotePrefix="0" xfId="0">
      <alignment horizontal="left" vertical="center" wrapText="1"/>
    </xf>
    <xf numFmtId="0" fontId="20" fillId="15" borderId="46" applyAlignment="1" pivotButton="0" quotePrefix="0" xfId="0">
      <alignment horizontal="left" vertical="center" wrapText="1"/>
    </xf>
    <xf numFmtId="0" fontId="17" fillId="12" borderId="48" pivotButton="0" quotePrefix="0" xfId="0"/>
    <xf numFmtId="0" fontId="17" fillId="12" borderId="49" pivotButton="0" quotePrefix="0" xfId="0"/>
    <xf numFmtId="0" fontId="17" fillId="12" borderId="50" pivotButton="0" quotePrefix="0" xfId="0"/>
    <xf numFmtId="0" fontId="17" fillId="12" borderId="75" applyAlignment="1" pivotButton="0" quotePrefix="0" xfId="0">
      <alignment horizontal="center"/>
    </xf>
    <xf numFmtId="0" fontId="0" fillId="0" borderId="76" pivotButton="0" quotePrefix="0" xfId="0"/>
    <xf numFmtId="0" fontId="0" fillId="0" borderId="77" pivotButton="0" quotePrefix="0" xfId="0"/>
    <xf numFmtId="0" fontId="0" fillId="0" borderId="78" pivotButton="0" quotePrefix="0" xfId="0"/>
    <xf numFmtId="0" fontId="1" fillId="0" borderId="51" applyAlignment="1" pivotButton="0" quotePrefix="0" xfId="0">
      <alignment horizontal="center"/>
    </xf>
    <xf numFmtId="0" fontId="0" fillId="0" borderId="52" pivotButton="0" quotePrefix="0" xfId="0"/>
    <xf numFmtId="0" fontId="0" fillId="0" borderId="53" pivotButton="0" quotePrefix="0" xfId="0"/>
    <xf numFmtId="0" fontId="1" fillId="0" borderId="79" applyAlignment="1" pivotButton="0" quotePrefix="0" xfId="0">
      <alignment horizontal="center"/>
    </xf>
    <xf numFmtId="0" fontId="0" fillId="0" borderId="59" pivotButton="0" quotePrefix="0" xfId="0"/>
    <xf numFmtId="0" fontId="0" fillId="0" borderId="80" pivotButton="0" quotePrefix="0" xfId="0"/>
    <xf numFmtId="0" fontId="1" fillId="0" borderId="81" pivotButton="0" quotePrefix="0" xfId="0"/>
    <xf numFmtId="0" fontId="0" fillId="0" borderId="82" pivotButton="0" quotePrefix="0" xfId="0"/>
    <xf numFmtId="0" fontId="0" fillId="0" borderId="83" pivotButton="0" quotePrefix="0" xfId="0"/>
    <xf numFmtId="0" fontId="0" fillId="0" borderId="51" applyAlignment="1" pivotButton="0" quotePrefix="0" xfId="0">
      <alignment horizontal="left"/>
    </xf>
    <xf numFmtId="0" fontId="0" fillId="0" borderId="54" pivotButton="0" quotePrefix="0" xfId="0"/>
    <xf numFmtId="164" fontId="0" fillId="16" borderId="54" pivotButton="0" quotePrefix="0" xfId="0"/>
    <xf numFmtId="164" fontId="0" fillId="0" borderId="54" pivotButton="0" quotePrefix="0" xfId="0"/>
    <xf numFmtId="165" fontId="0" fillId="0" borderId="55" pivotButton="0" quotePrefix="0" xfId="0"/>
    <xf numFmtId="0" fontId="1" fillId="0" borderId="67" applyAlignment="1" pivotButton="0" quotePrefix="0" xfId="0">
      <alignment horizontal="left"/>
    </xf>
    <xf numFmtId="0" fontId="0" fillId="0" borderId="63" pivotButton="0" quotePrefix="0" xfId="0"/>
    <xf numFmtId="0" fontId="0" fillId="0" borderId="69" pivotButton="0" quotePrefix="0" xfId="0"/>
    <xf numFmtId="165" fontId="1" fillId="0" borderId="84" pivotButton="0" quotePrefix="0" xfId="0"/>
    <xf numFmtId="0" fontId="1" fillId="0" borderId="82" pivotButton="0" quotePrefix="0" xfId="0"/>
    <xf numFmtId="164" fontId="0" fillId="0" borderId="83" pivotButton="0" quotePrefix="0" xfId="0"/>
    <xf numFmtId="0" fontId="0" fillId="0" borderId="51" pivotButton="0" quotePrefix="0" xfId="0"/>
    <xf numFmtId="9" fontId="0" fillId="0" borderId="54" pivotButton="0" quotePrefix="0" xfId="0"/>
    <xf numFmtId="0" fontId="1" fillId="0" borderId="85" applyAlignment="1" pivotButton="0" quotePrefix="0" xfId="0">
      <alignment horizontal="left"/>
    </xf>
    <xf numFmtId="0" fontId="0" fillId="0" borderId="86" pivotButton="0" quotePrefix="0" xfId="0"/>
    <xf numFmtId="0" fontId="0" fillId="0" borderId="87" pivotButton="0" quotePrefix="0" xfId="0"/>
    <xf numFmtId="165" fontId="1" fillId="0" borderId="88" pivotButton="0" quotePrefix="0" xfId="0"/>
    <xf numFmtId="0" fontId="0" fillId="0" borderId="56" pivotButton="0" quotePrefix="0" xfId="0"/>
    <xf numFmtId="10" fontId="0" fillId="0" borderId="57" pivotButton="0" quotePrefix="0" xfId="0"/>
    <xf numFmtId="0" fontId="0" fillId="0" borderId="89" pivotButton="0" quotePrefix="0" xfId="0"/>
    <xf numFmtId="165" fontId="0" fillId="0" borderId="82" pivotButton="0" quotePrefix="0" xfId="0"/>
    <xf numFmtId="0" fontId="19" fillId="17" borderId="58" applyAlignment="1" pivotButton="0" quotePrefix="0" xfId="0">
      <alignment horizontal="right"/>
    </xf>
    <xf numFmtId="0" fontId="0" fillId="0" borderId="60" pivotButton="0" quotePrefix="0" xfId="0"/>
    <xf numFmtId="165" fontId="1" fillId="0" borderId="61" pivotButton="0" quotePrefix="0" xfId="0"/>
    <xf numFmtId="0" fontId="1" fillId="0" borderId="79" applyAlignment="1" pivotButton="0" quotePrefix="0" xfId="0">
      <alignment horizontal="center" vertical="center"/>
    </xf>
    <xf numFmtId="165" fontId="1" fillId="0" borderId="90" applyAlignment="1" pivotButton="0" quotePrefix="0" xfId="0">
      <alignment horizontal="left"/>
    </xf>
    <xf numFmtId="0" fontId="0" fillId="0" borderId="62" pivotButton="0" quotePrefix="0" xfId="0"/>
    <xf numFmtId="164" fontId="0" fillId="0" borderId="61" pivotButton="0" quotePrefix="0" xfId="0"/>
    <xf numFmtId="0" fontId="1" fillId="0" borderId="91" applyAlignment="1" pivotButton="0" quotePrefix="0" xfId="0">
      <alignment vertical="center"/>
    </xf>
    <xf numFmtId="0" fontId="1" fillId="0" borderId="92" applyAlignment="1" pivotButton="0" quotePrefix="0" xfId="0">
      <alignment vertical="center"/>
    </xf>
    <xf numFmtId="165" fontId="1" fillId="0" borderId="93" applyAlignment="1" pivotButton="0" quotePrefix="0" xfId="0">
      <alignment horizontal="left"/>
    </xf>
    <xf numFmtId="0" fontId="19" fillId="17" borderId="51" applyAlignment="1" pivotButton="0" quotePrefix="0" xfId="0">
      <alignment horizontal="right"/>
    </xf>
    <xf numFmtId="0" fontId="0" fillId="0" borderId="61" pivotButton="0" quotePrefix="0" xfId="0"/>
    <xf numFmtId="164" fontId="1" fillId="0" borderId="54" pivotButton="0" quotePrefix="0" xfId="0"/>
    <xf numFmtId="0" fontId="1" fillId="0" borderId="70" applyAlignment="1" pivotButton="0" quotePrefix="0" xfId="0">
      <alignment horizontal="left"/>
    </xf>
    <xf numFmtId="0" fontId="0" fillId="0" borderId="72" pivotButton="0" quotePrefix="0" xfId="0"/>
    <xf numFmtId="0" fontId="0" fillId="0" borderId="73" pivotButton="0" quotePrefix="0" xfId="0"/>
    <xf numFmtId="165" fontId="1" fillId="0" borderId="94" applyAlignment="1" pivotButton="0" quotePrefix="0" xfId="0">
      <alignment horizontal="left"/>
    </xf>
    <xf numFmtId="0" fontId="0" fillId="0" borderId="95" pivotButton="0" quotePrefix="0" xfId="0"/>
    <xf numFmtId="0" fontId="0" fillId="0" borderId="96" pivotButton="0" quotePrefix="0" xfId="0"/>
    <xf numFmtId="0" fontId="1" fillId="0" borderId="64" applyAlignment="1" pivotButton="0" quotePrefix="0" xfId="0">
      <alignment horizontal="right"/>
    </xf>
    <xf numFmtId="0" fontId="0" fillId="0" borderId="61" applyAlignment="1" pivotButton="0" quotePrefix="0" xfId="0">
      <alignment horizontal="left"/>
    </xf>
    <xf numFmtId="0" fontId="19" fillId="17" borderId="61" applyAlignment="1" pivotButton="0" quotePrefix="0" xfId="0">
      <alignment horizontal="right"/>
    </xf>
    <xf numFmtId="0" fontId="17" fillId="12" borderId="97" applyAlignment="1" pivotButton="0" quotePrefix="0" xfId="0">
      <alignment horizontal="center"/>
    </xf>
    <xf numFmtId="0" fontId="0" fillId="0" borderId="64" applyAlignment="1" pivotButton="0" quotePrefix="0" xfId="0">
      <alignment horizontal="left"/>
    </xf>
    <xf numFmtId="165" fontId="0" fillId="0" borderId="83" pivotButton="0" quotePrefix="0" xfId="0"/>
    <xf numFmtId="0" fontId="1" fillId="0" borderId="98" pivotButton="0" quotePrefix="0" xfId="0"/>
    <xf numFmtId="165" fontId="1" fillId="0" borderId="99" pivotButton="0" quotePrefix="0" xfId="0"/>
    <xf numFmtId="0" fontId="1" fillId="0" borderId="51" applyAlignment="1" pivotButton="0" quotePrefix="0" xfId="0">
      <alignment horizontal="right"/>
    </xf>
    <xf numFmtId="165" fontId="1" fillId="0" borderId="54" pivotButton="0" quotePrefix="0" xfId="0"/>
    <xf numFmtId="165" fontId="1" fillId="0" borderId="55" pivotButton="0" quotePrefix="0" xfId="0"/>
    <xf numFmtId="0" fontId="16" fillId="0" borderId="47" pivotButton="0" quotePrefix="0" xfId="0"/>
    <xf numFmtId="165" fontId="16" fillId="0" borderId="47" pivotButton="0" quotePrefix="0" xfId="0"/>
    <xf numFmtId="165" fontId="19" fillId="17" borderId="0" pivotButton="0" quotePrefix="0" xfId="0"/>
    <xf numFmtId="0" fontId="1" fillId="0" borderId="51" applyAlignment="1" pivotButton="0" quotePrefix="0" xfId="0">
      <alignment horizontal="left"/>
    </xf>
    <xf numFmtId="0" fontId="1" fillId="0" borderId="56" applyAlignment="1" pivotButton="0" quotePrefix="0" xfId="0">
      <alignment horizontal="right"/>
    </xf>
    <xf numFmtId="0" fontId="0" fillId="0" borderId="65" pivotButton="0" quotePrefix="0" xfId="0"/>
    <xf numFmtId="0" fontId="0" fillId="0" borderId="66" pivotButton="0" quotePrefix="0" xfId="0"/>
    <xf numFmtId="165" fontId="19" fillId="17" borderId="55" pivotButton="0" quotePrefix="0" xfId="0"/>
    <xf numFmtId="165" fontId="1" fillId="0" borderId="100" pivotButton="0" quotePrefix="0" xfId="0"/>
    <xf numFmtId="0" fontId="19" fillId="17" borderId="58" applyAlignment="1" pivotButton="0" quotePrefix="0" xfId="0">
      <alignment horizontal="center" vertical="center"/>
    </xf>
    <xf numFmtId="165" fontId="0" fillId="0" borderId="53" pivotButton="0" quotePrefix="0" xfId="0"/>
    <xf numFmtId="0" fontId="19" fillId="17" borderId="0" pivotButton="0" quotePrefix="0" xfId="0"/>
    <xf numFmtId="165" fontId="1" fillId="0" borderId="101" pivotButton="0" quotePrefix="0" xfId="0"/>
    <xf numFmtId="0" fontId="0" fillId="0" borderId="67" applyAlignment="1" pivotButton="0" quotePrefix="0" xfId="0">
      <alignment horizontal="left"/>
    </xf>
    <xf numFmtId="0" fontId="0" fillId="0" borderId="68" applyAlignment="1" pivotButton="0" quotePrefix="0" xfId="0">
      <alignment horizontal="left"/>
    </xf>
    <xf numFmtId="164" fontId="0" fillId="16" borderId="68" pivotButton="0" quotePrefix="0" xfId="0"/>
    <xf numFmtId="0" fontId="1" fillId="0" borderId="102" applyAlignment="1" pivotButton="0" quotePrefix="0" xfId="0">
      <alignment horizontal="left"/>
    </xf>
    <xf numFmtId="0" fontId="0" fillId="0" borderId="103" pivotButton="0" quotePrefix="0" xfId="0"/>
    <xf numFmtId="165" fontId="1" fillId="0" borderId="104" pivotButton="0" quotePrefix="0" xfId="0"/>
    <xf numFmtId="0" fontId="0" fillId="0" borderId="54" applyAlignment="1" pivotButton="0" quotePrefix="0" xfId="0">
      <alignment horizontal="left"/>
    </xf>
    <xf numFmtId="165" fontId="1" fillId="0" borderId="105" pivotButton="0" quotePrefix="0" xfId="0"/>
    <xf numFmtId="0" fontId="1" fillId="0" borderId="54" applyAlignment="1" pivotButton="0" quotePrefix="0" xfId="0">
      <alignment horizontal="right"/>
    </xf>
    <xf numFmtId="165" fontId="1" fillId="0" borderId="106" pivotButton="0" quotePrefix="0" xfId="0"/>
    <xf numFmtId="165" fontId="17" fillId="12" borderId="55" pivotButton="0" quotePrefix="0" xfId="0"/>
    <xf numFmtId="0" fontId="0" fillId="0" borderId="70" applyAlignment="1" pivotButton="0" quotePrefix="0" xfId="0">
      <alignment horizontal="left"/>
    </xf>
    <xf numFmtId="0" fontId="1" fillId="0" borderId="71" applyAlignment="1" pivotButton="0" quotePrefix="0" xfId="0">
      <alignment horizontal="right"/>
    </xf>
    <xf numFmtId="165" fontId="19" fillId="17" borderId="74" pivotButton="0" quotePrefix="0" xfId="0"/>
    <xf numFmtId="165" fontId="1" fillId="0" borderId="105" applyAlignment="1" pivotButton="0" quotePrefix="0" xfId="0">
      <alignment horizontal="left"/>
    </xf>
    <xf numFmtId="165" fontId="1" fillId="0" borderId="55" applyAlignment="1" pivotButton="0" quotePrefix="0" xfId="0">
      <alignment horizontal="left"/>
    </xf>
    <xf numFmtId="165" fontId="1" fillId="0" borderId="106" applyAlignment="1" pivotButton="0" quotePrefix="0" xfId="0">
      <alignment horizontal="left"/>
    </xf>
    <xf numFmtId="165" fontId="0" fillId="0" borderId="105" pivotButton="0" quotePrefix="0" xfId="0"/>
    <xf numFmtId="165" fontId="0" fillId="0" borderId="74" pivotButton="0" quotePrefix="0" xfId="0"/>
    <xf numFmtId="0" fontId="1" fillId="0" borderId="0" applyAlignment="1" pivotButton="0" quotePrefix="0" xfId="0">
      <alignment horizontal="center" wrapText="1"/>
    </xf>
    <xf numFmtId="0" fontId="18" fillId="15" borderId="46" applyAlignment="1" pivotButton="0" quotePrefix="0" xfId="0">
      <alignment horizontal="left" vertical="center" wrapText="1"/>
    </xf>
    <xf numFmtId="0" fontId="21" fillId="12" borderId="108" applyAlignment="1" pivotButton="0" quotePrefix="0" xfId="0">
      <alignment horizontal="center" vertical="center" wrapText="1"/>
    </xf>
    <xf numFmtId="0" fontId="21" fillId="12" borderId="109" applyAlignment="1" pivotButton="0" quotePrefix="0" xfId="0">
      <alignment horizontal="center" vertical="center" wrapText="1"/>
    </xf>
    <xf numFmtId="0" fontId="21" fillId="12" borderId="110" applyAlignment="1" pivotButton="0" quotePrefix="0" xfId="0">
      <alignment horizontal="center" vertical="center" wrapText="1"/>
    </xf>
    <xf numFmtId="0" fontId="22" fillId="13" borderId="108" applyAlignment="1" pivotButton="0" quotePrefix="0" xfId="0">
      <alignment horizontal="center" vertical="center" wrapText="1"/>
    </xf>
    <xf numFmtId="0" fontId="22" fillId="13" borderId="109" applyAlignment="1" pivotButton="0" quotePrefix="0" xfId="0">
      <alignment horizontal="center" vertical="center" wrapText="1"/>
    </xf>
    <xf numFmtId="0" fontId="22" fillId="13" borderId="110" applyAlignment="1" pivotButton="0" quotePrefix="0" xfId="0">
      <alignment horizontal="center" vertical="center" wrapText="1"/>
    </xf>
    <xf numFmtId="0" fontId="23" fillId="12" borderId="111" applyAlignment="1" pivotButton="0" quotePrefix="0" xfId="0">
      <alignment horizontal="center" vertical="center" wrapText="1"/>
    </xf>
    <xf numFmtId="0" fontId="23" fillId="12" borderId="107" applyAlignment="1" pivotButton="0" quotePrefix="0" xfId="0">
      <alignment horizontal="center" vertical="center" wrapText="1"/>
    </xf>
    <xf numFmtId="0" fontId="23" fillId="12" borderId="112" applyAlignment="1" pivotButton="0" quotePrefix="0" xfId="0">
      <alignment horizontal="center" vertical="center" wrapText="1"/>
    </xf>
    <xf numFmtId="0" fontId="25" fillId="16" borderId="111" applyAlignment="1" pivotButton="0" quotePrefix="0" xfId="0">
      <alignment vertical="center"/>
    </xf>
    <xf numFmtId="167" fontId="24" fillId="16" borderId="107" applyAlignment="1" pivotButton="0" quotePrefix="0" xfId="0">
      <alignment horizontal="center" vertical="center"/>
    </xf>
    <xf numFmtId="168" fontId="24" fillId="16" borderId="107" applyAlignment="1" pivotButton="0" quotePrefix="0" xfId="0">
      <alignment vertical="center"/>
    </xf>
    <xf numFmtId="168" fontId="24" fillId="16" borderId="112" applyAlignment="1" pivotButton="0" quotePrefix="0" xfId="0">
      <alignment vertical="center"/>
    </xf>
    <xf numFmtId="0" fontId="24" fillId="16" borderId="111" applyAlignment="1" pivotButton="0" quotePrefix="0" xfId="0">
      <alignment vertical="center"/>
    </xf>
    <xf numFmtId="0" fontId="25" fillId="17" borderId="111" applyAlignment="1" pivotButton="0" quotePrefix="0" xfId="0">
      <alignment vertical="center"/>
    </xf>
    <xf numFmtId="0" fontId="25" fillId="17" borderId="107" applyAlignment="1" pivotButton="0" quotePrefix="0" xfId="0">
      <alignment vertical="center"/>
    </xf>
    <xf numFmtId="168" fontId="25" fillId="17" borderId="107" applyAlignment="1" pivotButton="0" quotePrefix="0" xfId="0">
      <alignment vertical="center"/>
    </xf>
    <xf numFmtId="168" fontId="25" fillId="17" borderId="112" applyAlignment="1" pivotButton="0" quotePrefix="0" xfId="0">
      <alignment vertical="center"/>
    </xf>
    <xf numFmtId="0" fontId="25" fillId="14" borderId="113" applyAlignment="1" pivotButton="0" quotePrefix="0" xfId="0">
      <alignment horizontal="right" vertical="center"/>
    </xf>
    <xf numFmtId="0" fontId="25" fillId="14" borderId="114" applyAlignment="1" pivotButton="0" quotePrefix="0" xfId="0">
      <alignment vertical="center"/>
    </xf>
    <xf numFmtId="0" fontId="25" fillId="14" borderId="115" applyAlignment="1" pivotButton="0" quotePrefix="0" xfId="0">
      <alignment vertical="center"/>
    </xf>
    <xf numFmtId="168" fontId="25" fillId="14" borderId="113" applyAlignment="1" pivotButton="0" quotePrefix="0" xfId="0">
      <alignment horizontal="center" vertical="center"/>
    </xf>
    <xf numFmtId="0" fontId="25" fillId="15" borderId="113" applyAlignment="1" pivotButton="0" quotePrefix="0" xfId="0">
      <alignment horizontal="center" vertical="center" wrapText="1"/>
    </xf>
    <xf numFmtId="0" fontId="25" fillId="15" borderId="114" applyAlignment="1" pivotButton="0" quotePrefix="0" xfId="0">
      <alignment horizontal="center" vertical="center" wrapText="1"/>
    </xf>
    <xf numFmtId="0" fontId="25" fillId="15" borderId="115" applyAlignment="1" pivotButton="0" quotePrefix="0" xfId="0">
      <alignment horizontal="center" vertical="center" wrapText="1"/>
    </xf>
    <xf numFmtId="0" fontId="23" fillId="12" borderId="108" applyAlignment="1" pivotButton="0" quotePrefix="0" xfId="0">
      <alignment horizontal="center" vertical="center" wrapText="1"/>
    </xf>
    <xf numFmtId="0" fontId="23" fillId="12" borderId="109" applyAlignment="1" pivotButton="0" quotePrefix="0" xfId="0">
      <alignment horizontal="center" vertical="center" wrapText="1"/>
    </xf>
    <xf numFmtId="0" fontId="23" fillId="12" borderId="110" applyAlignment="1" pivotButton="0" quotePrefix="0" xfId="0">
      <alignment horizontal="center" vertical="center" wrapText="1"/>
    </xf>
    <xf numFmtId="0" fontId="24" fillId="15" borderId="111" applyAlignment="1" pivotButton="0" quotePrefix="0" xfId="0">
      <alignment horizontal="left" vertical="center" wrapText="1"/>
    </xf>
    <xf numFmtId="0" fontId="24" fillId="15" borderId="107" applyAlignment="1" pivotButton="0" quotePrefix="0" xfId="0">
      <alignment horizontal="left" vertical="center" wrapText="1"/>
    </xf>
    <xf numFmtId="0" fontId="24" fillId="15" borderId="112" applyAlignment="1" pivotButton="0" quotePrefix="0" xfId="0">
      <alignment horizontal="left" vertical="center" wrapText="1"/>
    </xf>
    <xf numFmtId="0" fontId="24" fillId="15" borderId="113" applyAlignment="1" pivotButton="0" quotePrefix="0" xfId="0">
      <alignment horizontal="left" vertical="center" wrapText="1"/>
    </xf>
    <xf numFmtId="0" fontId="24" fillId="15" borderId="114" applyAlignment="1" pivotButton="0" quotePrefix="0" xfId="0">
      <alignment horizontal="left" vertical="center" wrapText="1"/>
    </xf>
    <xf numFmtId="0" fontId="24" fillId="15" borderId="115" applyAlignment="1" pivotButton="0" quotePrefix="0" xfId="0">
      <alignment horizontal="left" vertical="center" wrapText="1"/>
    </xf>
    <xf numFmtId="0" fontId="17" fillId="13" borderId="0" applyAlignment="1" pivotButton="0" quotePrefix="0" xfId="0">
      <alignment horizontal="left" vertical="center" wrapText="1"/>
    </xf>
    <xf numFmtId="0" fontId="19" fillId="15" borderId="108" applyAlignment="1" pivotButton="0" quotePrefix="0" xfId="0">
      <alignment vertical="center" wrapText="1"/>
    </xf>
    <xf numFmtId="0" fontId="16" fillId="16" borderId="110" applyAlignment="1" pivotButton="0" quotePrefix="0" xfId="0">
      <alignment vertical="center"/>
    </xf>
    <xf numFmtId="0" fontId="19" fillId="15" borderId="111" applyAlignment="1" pivotButton="0" quotePrefix="0" xfId="0">
      <alignment vertical="center" wrapText="1"/>
    </xf>
    <xf numFmtId="14" fontId="16" fillId="16" borderId="112" applyAlignment="1" pivotButton="0" quotePrefix="0" xfId="0">
      <alignment vertical="center"/>
    </xf>
    <xf numFmtId="166" fontId="16" fillId="16" borderId="112" applyAlignment="1" pivotButton="0" quotePrefix="0" xfId="0">
      <alignment vertical="center"/>
    </xf>
    <xf numFmtId="0" fontId="19" fillId="15" borderId="113" applyAlignment="1" pivotButton="0" quotePrefix="0" xfId="0">
      <alignment vertical="center" wrapText="1"/>
    </xf>
    <xf numFmtId="0" fontId="16" fillId="16" borderId="115" applyAlignment="1" pivotButton="0" quotePrefix="0" xfId="0">
      <alignment vertical="center"/>
    </xf>
    <xf numFmtId="166" fontId="19" fillId="17" borderId="110" applyAlignment="1" pivotButton="0" quotePrefix="0" xfId="0">
      <alignment vertical="center"/>
    </xf>
    <xf numFmtId="10" fontId="19" fillId="17" borderId="112" applyAlignment="1" pivotButton="0" quotePrefix="0" xfId="0">
      <alignment vertical="center"/>
    </xf>
    <xf numFmtId="1" fontId="19" fillId="17" borderId="115" applyAlignment="1" pivotButton="0" quotePrefix="0" xfId="0">
      <alignment vertical="center"/>
    </xf>
    <xf numFmtId="0" fontId="13" fillId="10" borderId="108" applyAlignment="1" pivotButton="0" quotePrefix="0" xfId="0">
      <alignment horizontal="center" vertical="center" wrapText="1"/>
    </xf>
    <xf numFmtId="0" fontId="13" fillId="10" borderId="109" applyAlignment="1" pivotButton="0" quotePrefix="0" xfId="0">
      <alignment horizontal="center" vertical="center" wrapText="1"/>
    </xf>
    <xf numFmtId="0" fontId="13" fillId="10" borderId="110" applyAlignment="1" pivotButton="0" quotePrefix="0" xfId="0">
      <alignment horizontal="center" vertical="center" wrapText="1"/>
    </xf>
    <xf numFmtId="0" fontId="19" fillId="14" borderId="111" applyAlignment="1" pivotButton="0" quotePrefix="0" xfId="0">
      <alignment vertical="center"/>
    </xf>
    <xf numFmtId="166" fontId="0" fillId="14" borderId="107" applyAlignment="1" pivotButton="0" quotePrefix="0" xfId="0">
      <alignment vertical="center"/>
    </xf>
    <xf numFmtId="10" fontId="0" fillId="14" borderId="107" applyAlignment="1" pivotButton="0" quotePrefix="0" xfId="0">
      <alignment vertical="center"/>
    </xf>
    <xf numFmtId="166" fontId="0" fillId="14" borderId="112" applyAlignment="1" pivotButton="0" quotePrefix="0" xfId="0">
      <alignment vertical="center"/>
    </xf>
    <xf numFmtId="0" fontId="19" fillId="18" borderId="111" applyAlignment="1" pivotButton="0" quotePrefix="0" xfId="0">
      <alignment vertical="center"/>
    </xf>
    <xf numFmtId="166" fontId="0" fillId="18" borderId="107" applyAlignment="1" pivotButton="0" quotePrefix="0" xfId="0">
      <alignment vertical="center"/>
    </xf>
    <xf numFmtId="10" fontId="0" fillId="18" borderId="107" applyAlignment="1" pivotButton="0" quotePrefix="0" xfId="0">
      <alignment vertical="center"/>
    </xf>
    <xf numFmtId="166" fontId="0" fillId="18" borderId="112" applyAlignment="1" pivotButton="0" quotePrefix="0" xfId="0">
      <alignment vertical="center"/>
    </xf>
    <xf numFmtId="0" fontId="19" fillId="14" borderId="113" applyAlignment="1" pivotButton="0" quotePrefix="0" xfId="0">
      <alignment vertical="center"/>
    </xf>
    <xf numFmtId="166" fontId="0" fillId="14" borderId="114" applyAlignment="1" pivotButton="0" quotePrefix="0" xfId="0">
      <alignment vertical="center"/>
    </xf>
    <xf numFmtId="10" fontId="0" fillId="14" borderId="114" applyAlignment="1" pivotButton="0" quotePrefix="0" xfId="0">
      <alignment vertical="center"/>
    </xf>
    <xf numFmtId="166" fontId="0" fillId="14" borderId="115" applyAlignment="1" pivotButton="0" quotePrefix="0" xfId="0">
      <alignment vertical="center"/>
    </xf>
    <xf numFmtId="1" fontId="16" fillId="16" borderId="115" applyAlignment="1" pivotButton="0" quotePrefix="0" xfId="0">
      <alignment vertical="center"/>
    </xf>
    <xf numFmtId="2" fontId="19" fillId="17" borderId="110" applyAlignment="1" pivotButton="0" quotePrefix="0" xfId="0">
      <alignment vertical="center"/>
    </xf>
    <xf numFmtId="0" fontId="19" fillId="17" borderId="115" applyAlignment="1" pivotButton="0" quotePrefix="0" xfId="0">
      <alignment vertical="center"/>
    </xf>
    <xf numFmtId="166" fontId="19" fillId="14" borderId="111" applyAlignment="1" pivotButton="0" quotePrefix="0" xfId="0">
      <alignment vertical="center"/>
    </xf>
    <xf numFmtId="166" fontId="19" fillId="18" borderId="111" applyAlignment="1" pivotButton="0" quotePrefix="0" xfId="0">
      <alignment vertical="center"/>
    </xf>
    <xf numFmtId="166" fontId="19" fillId="18" borderId="113" applyAlignment="1" pivotButton="0" quotePrefix="0" xfId="0">
      <alignment vertical="center"/>
    </xf>
    <xf numFmtId="166" fontId="0" fillId="18" borderId="114" applyAlignment="1" pivotButton="0" quotePrefix="0" xfId="0">
      <alignment vertical="center"/>
    </xf>
    <xf numFmtId="10" fontId="0" fillId="18" borderId="114" applyAlignment="1" pivotButton="0" quotePrefix="0" xfId="0">
      <alignment vertical="center"/>
    </xf>
    <xf numFmtId="166" fontId="0" fillId="18" borderId="115" applyAlignment="1" pivotButton="0" quotePrefix="0" xfId="0">
      <alignment vertical="center"/>
    </xf>
    <xf numFmtId="3" fontId="19" fillId="17" borderId="115" applyAlignment="1" pivotButton="0" quotePrefix="0" xfId="0">
      <alignment vertical="center"/>
    </xf>
    <xf numFmtId="3" fontId="0" fillId="9" borderId="107" applyAlignment="1" pivotButton="0" quotePrefix="0" xfId="0">
      <alignment vertical="center"/>
    </xf>
    <xf numFmtId="3" fontId="0" fillId="9" borderId="114" applyAlignment="1" pivotButton="0" quotePrefix="0" xfId="0">
      <alignment vertical="center"/>
    </xf>
    <xf numFmtId="1" fontId="16" fillId="16" borderId="112" applyAlignment="1" pivotButton="0" quotePrefix="0" xfId="0">
      <alignment vertical="center"/>
    </xf>
    <xf numFmtId="166" fontId="19" fillId="17" borderId="112" applyAlignment="1" pivotButton="0" quotePrefix="0" xfId="0">
      <alignment vertical="center"/>
    </xf>
    <xf numFmtId="166" fontId="19" fillId="14" borderId="113" applyAlignment="1" pivotButton="0" quotePrefix="0" xfId="0">
      <alignment vertical="center"/>
    </xf>
    <xf numFmtId="166" fontId="16" fillId="16" borderId="110" applyAlignment="1" pivotButton="0" quotePrefix="0" xfId="0">
      <alignment vertical="center"/>
    </xf>
    <xf numFmtId="10" fontId="16" fillId="16" borderId="112" applyAlignment="1" pivotButton="0" quotePrefix="0" xfId="0">
      <alignment vertical="center"/>
    </xf>
    <xf numFmtId="0" fontId="16" fillId="16" borderId="112" applyAlignment="1" pivotButton="0" quotePrefix="0" xfId="0">
      <alignment vertical="center"/>
    </xf>
    <xf numFmtId="14" fontId="16" fillId="16" borderId="115" applyAlignment="1" pivotButton="0" quotePrefix="0" xfId="0">
      <alignment vertical="center"/>
    </xf>
    <xf numFmtId="0" fontId="19" fillId="15" borderId="116" applyAlignment="1" pivotButton="0" quotePrefix="0" xfId="0">
      <alignment vertical="center" wrapText="1"/>
    </xf>
    <xf numFmtId="166" fontId="19" fillId="17" borderId="117" applyAlignment="1" pivotButton="0" quotePrefix="0" xfId="0">
      <alignment vertical="center"/>
    </xf>
    <xf numFmtId="14" fontId="19" fillId="14" borderId="111" applyAlignment="1" pivotButton="0" quotePrefix="0" xfId="0">
      <alignment vertical="center"/>
    </xf>
    <xf numFmtId="14" fontId="19" fillId="18" borderId="111" applyAlignment="1" pivotButton="0" quotePrefix="0" xfId="0">
      <alignment vertical="center"/>
    </xf>
    <xf numFmtId="0" fontId="12" fillId="11" borderId="113" pivotButton="0" quotePrefix="0" xfId="0"/>
    <xf numFmtId="0" fontId="0" fillId="11" borderId="114" pivotButton="0" quotePrefix="0" xfId="0"/>
    <xf numFmtId="166" fontId="12" fillId="11" borderId="114" pivotButton="0" quotePrefix="0" xfId="0"/>
    <xf numFmtId="0" fontId="0" fillId="11" borderId="115" pivotButton="0" quotePrefix="0" xfId="0"/>
    <xf numFmtId="0" fontId="17" fillId="12" borderId="0" applyAlignment="1" pivotButton="0" quotePrefix="0" xfId="0">
      <alignment horizontal="center" vertical="center" wrapText="1"/>
    </xf>
    <xf numFmtId="0" fontId="18" fillId="0" borderId="0" pivotButton="0" quotePrefix="0" xfId="0"/>
    <xf numFmtId="49" fontId="16" fillId="0" borderId="0" applyAlignment="1" pivotButton="0" quotePrefix="0" xfId="0">
      <alignment horizontal="left"/>
    </xf>
    <xf numFmtId="0" fontId="16" fillId="0" borderId="0" pivotButton="0" quotePrefix="0" xfId="0"/>
    <xf numFmtId="0" fontId="0" fillId="0" borderId="120" pivotButton="0" quotePrefix="0" xfId="0"/>
    <xf numFmtId="0" fontId="3" fillId="4" borderId="143" applyAlignment="1" pivotButton="0" quotePrefix="0" xfId="1">
      <alignment horizontal="center" vertical="center"/>
    </xf>
    <xf numFmtId="0" fontId="3" fillId="4" borderId="144" applyAlignment="1" pivotButton="0" quotePrefix="0" xfId="1">
      <alignment horizontal="center" vertical="center"/>
    </xf>
    <xf numFmtId="0" fontId="3" fillId="4" borderId="144" applyAlignment="1" pivotButton="0" quotePrefix="0" xfId="0">
      <alignment horizontal="center" vertical="center"/>
    </xf>
    <xf numFmtId="0" fontId="0" fillId="0" borderId="145" pivotButton="0" quotePrefix="0" xfId="0"/>
    <xf numFmtId="0" fontId="0" fillId="0" borderId="146" pivotButton="0" quotePrefix="0" xfId="0"/>
    <xf numFmtId="0" fontId="3" fillId="4" borderId="147" applyAlignment="1" pivotButton="0" quotePrefix="0" xfId="0">
      <alignment horizontal="center" vertical="center"/>
    </xf>
    <xf numFmtId="0" fontId="37" fillId="0" borderId="47" pivotButton="0" quotePrefix="0" xfId="0"/>
    <xf numFmtId="0" fontId="30" fillId="5" borderId="148" applyAlignment="1" pivotButton="0" quotePrefix="0" xfId="1">
      <alignment horizontal="left" vertical="center"/>
    </xf>
    <xf numFmtId="0" fontId="3" fillId="5" borderId="149" applyAlignment="1" pivotButton="0" quotePrefix="0" xfId="1">
      <alignment horizontal="center" vertical="center"/>
    </xf>
    <xf numFmtId="0" fontId="25" fillId="0" borderId="148" applyAlignment="1" pivotButton="0" quotePrefix="0" xfId="1">
      <alignment horizontal="center" vertical="center"/>
    </xf>
    <xf numFmtId="0" fontId="4" fillId="0" borderId="54" applyAlignment="1" pivotButton="0" quotePrefix="0" xfId="1">
      <alignment horizontal="center" vertical="center"/>
    </xf>
    <xf numFmtId="0" fontId="5" fillId="0" borderId="54" applyAlignment="1" pivotButton="0" quotePrefix="0" xfId="1">
      <alignment horizontal="center" vertical="center"/>
    </xf>
    <xf numFmtId="0" fontId="5" fillId="0" borderId="54" applyAlignment="1" pivotButton="0" quotePrefix="0" xfId="1">
      <alignment horizontal="left" vertical="center"/>
    </xf>
    <xf numFmtId="4" fontId="5" fillId="0" borderId="54" applyAlignment="1" pivotButton="0" quotePrefix="0" xfId="1">
      <alignment horizontal="center" vertical="center"/>
    </xf>
    <xf numFmtId="4" fontId="5" fillId="0" borderId="149" applyAlignment="1" pivotButton="0" quotePrefix="0" xfId="1">
      <alignment vertical="center" wrapText="1"/>
    </xf>
    <xf numFmtId="0" fontId="0" fillId="0" borderId="150" pivotButton="0" quotePrefix="0" xfId="0"/>
    <xf numFmtId="3" fontId="5" fillId="0" borderId="54" applyAlignment="1" pivotButton="0" quotePrefix="0" xfId="1">
      <alignment horizontal="center" vertical="center"/>
    </xf>
    <xf numFmtId="0" fontId="0" fillId="0" borderId="151" pivotButton="0" quotePrefix="0" xfId="0"/>
    <xf numFmtId="0" fontId="4" fillId="4" borderId="54" applyAlignment="1" pivotButton="0" quotePrefix="0" xfId="1">
      <alignment horizontal="right" vertical="center"/>
    </xf>
    <xf numFmtId="4" fontId="4" fillId="4" borderId="54" applyAlignment="1" pivotButton="0" quotePrefix="0" xfId="1">
      <alignment horizontal="center" vertical="center"/>
    </xf>
    <xf numFmtId="4" fontId="4" fillId="4" borderId="149" applyAlignment="1" pivotButton="0" quotePrefix="0" xfId="1">
      <alignment horizontal="center" vertical="center"/>
    </xf>
    <xf numFmtId="0" fontId="31" fillId="5" borderId="152" applyAlignment="1" pivotButton="0" quotePrefix="0" xfId="1">
      <alignment horizontal="left" vertical="center"/>
    </xf>
    <xf numFmtId="0" fontId="0" fillId="5" borderId="153" pivotButton="0" quotePrefix="0" xfId="0"/>
    <xf numFmtId="0" fontId="32" fillId="20" borderId="153" applyAlignment="1" pivotButton="0" quotePrefix="0" xfId="0">
      <alignment horizontal="left" vertical="center"/>
    </xf>
    <xf numFmtId="0" fontId="0" fillId="20" borderId="153" pivotButton="0" quotePrefix="0" xfId="0"/>
    <xf numFmtId="0" fontId="4" fillId="5" borderId="154" applyAlignment="1" pivotButton="0" quotePrefix="0" xfId="1">
      <alignment horizontal="center" vertical="center"/>
    </xf>
    <xf numFmtId="0" fontId="3" fillId="5" borderId="148" applyAlignment="1" pivotButton="0" quotePrefix="0" xfId="1">
      <alignment horizontal="center" vertical="center"/>
    </xf>
    <xf numFmtId="0" fontId="4" fillId="0" borderId="148" applyAlignment="1" pivotButton="0" quotePrefix="0" xfId="1">
      <alignment horizontal="center" vertical="center"/>
    </xf>
    <xf numFmtId="4" fontId="5" fillId="0" borderId="149" applyAlignment="1" pivotButton="0" quotePrefix="0" xfId="1">
      <alignment horizontal="center" vertical="center"/>
    </xf>
    <xf numFmtId="0" fontId="0" fillId="0" borderId="155" pivotButton="0" quotePrefix="0" xfId="0"/>
    <xf numFmtId="0" fontId="4" fillId="0" borderId="156" applyAlignment="1" pivotButton="0" quotePrefix="0" xfId="1">
      <alignment horizontal="center" vertical="center"/>
    </xf>
    <xf numFmtId="0" fontId="4" fillId="4" borderId="156" applyAlignment="1" pivotButton="0" quotePrefix="0" xfId="1">
      <alignment horizontal="right" vertical="center"/>
    </xf>
    <xf numFmtId="0" fontId="0" fillId="0" borderId="157" pivotButton="0" quotePrefix="0" xfId="0"/>
    <xf numFmtId="0" fontId="0" fillId="0" borderId="158" pivotButton="0" quotePrefix="0" xfId="0"/>
    <xf numFmtId="4" fontId="4" fillId="4" borderId="156" applyAlignment="1" pivotButton="0" quotePrefix="0" xfId="1">
      <alignment horizontal="center" vertical="center"/>
    </xf>
    <xf numFmtId="4" fontId="4" fillId="4" borderId="159" applyAlignment="1" pivotButton="0" quotePrefix="0" xfId="1">
      <alignment horizontal="center" vertical="center"/>
    </xf>
    <xf numFmtId="0" fontId="4" fillId="0" borderId="47" applyAlignment="1" pivotButton="0" quotePrefix="0" xfId="1">
      <alignment horizontal="center" vertical="center"/>
    </xf>
    <xf numFmtId="0" fontId="0" fillId="0" borderId="47" pivotButton="0" quotePrefix="0" xfId="0"/>
    <xf numFmtId="0" fontId="3" fillId="5" borderId="160" applyAlignment="1" pivotButton="0" quotePrefix="0" xfId="1">
      <alignment horizontal="center" vertical="center"/>
    </xf>
    <xf numFmtId="0" fontId="4" fillId="0" borderId="57" applyAlignment="1" pivotButton="0" quotePrefix="0" xfId="1">
      <alignment horizontal="center" vertical="center"/>
    </xf>
    <xf numFmtId="4" fontId="5" fillId="0" borderId="161" applyAlignment="1" pivotButton="0" quotePrefix="0" xfId="1">
      <alignment horizontal="center" vertical="center"/>
    </xf>
    <xf numFmtId="0" fontId="4" fillId="0" borderId="162" applyAlignment="1" pivotButton="0" quotePrefix="0" xfId="1">
      <alignment horizontal="center" vertical="center"/>
    </xf>
    <xf numFmtId="0" fontId="4" fillId="0" borderId="163" applyAlignment="1" pivotButton="0" quotePrefix="0" xfId="1">
      <alignment horizontal="center" vertical="center"/>
    </xf>
    <xf numFmtId="0" fontId="21" fillId="24" borderId="0" applyAlignment="1" pivotButton="0" quotePrefix="0" xfId="0">
      <alignment vertical="center"/>
    </xf>
    <xf numFmtId="0" fontId="0" fillId="24" borderId="0" pivotButton="0" quotePrefix="0" xfId="0"/>
    <xf numFmtId="0" fontId="23" fillId="21" borderId="0" applyAlignment="1" pivotButton="0" quotePrefix="0" xfId="0">
      <alignment vertical="center"/>
    </xf>
    <xf numFmtId="0" fontId="0" fillId="21" borderId="0" pivotButton="0" quotePrefix="0" xfId="0"/>
    <xf numFmtId="0" fontId="17" fillId="24" borderId="108" applyAlignment="1" pivotButton="0" quotePrefix="0" xfId="0">
      <alignment horizontal="center" vertical="center"/>
    </xf>
    <xf numFmtId="0" fontId="17" fillId="24" borderId="109" applyAlignment="1" pivotButton="0" quotePrefix="0" xfId="0">
      <alignment horizontal="center" vertical="center"/>
    </xf>
    <xf numFmtId="0" fontId="17" fillId="24" borderId="110" applyAlignment="1" pivotButton="0" quotePrefix="0" xfId="0">
      <alignment horizontal="center" vertical="center"/>
    </xf>
    <xf numFmtId="0" fontId="19" fillId="22" borderId="111" applyAlignment="1" pivotButton="0" quotePrefix="0" xfId="0">
      <alignment vertical="center" wrapText="1"/>
    </xf>
    <xf numFmtId="0" fontId="20" fillId="22" borderId="107" applyAlignment="1" pivotButton="0" quotePrefix="0" xfId="0">
      <alignment vertical="center" wrapText="1"/>
    </xf>
    <xf numFmtId="0" fontId="16" fillId="22" borderId="112" applyAlignment="1" pivotButton="0" quotePrefix="0" xfId="0">
      <alignment vertical="center" wrapText="1"/>
    </xf>
    <xf numFmtId="0" fontId="19" fillId="23" borderId="111" applyAlignment="1" pivotButton="0" quotePrefix="0" xfId="0">
      <alignment vertical="center" wrapText="1"/>
    </xf>
    <xf numFmtId="0" fontId="20" fillId="23" borderId="107" applyAlignment="1" pivotButton="0" quotePrefix="0" xfId="0">
      <alignment vertical="center" wrapText="1"/>
    </xf>
    <xf numFmtId="0" fontId="16" fillId="23" borderId="112" applyAlignment="1" pivotButton="0" quotePrefix="0" xfId="0">
      <alignment vertical="center" wrapText="1"/>
    </xf>
    <xf numFmtId="0" fontId="19" fillId="22" borderId="113" applyAlignment="1" pivotButton="0" quotePrefix="0" xfId="0">
      <alignment vertical="center" wrapText="1"/>
    </xf>
    <xf numFmtId="0" fontId="20" fillId="22" borderId="114" applyAlignment="1" pivotButton="0" quotePrefix="0" xfId="0">
      <alignment vertical="center" wrapText="1"/>
    </xf>
    <xf numFmtId="0" fontId="16" fillId="22" borderId="115" applyAlignment="1" pivotButton="0" quotePrefix="0" xfId="0">
      <alignment vertical="center" wrapText="1"/>
    </xf>
    <xf numFmtId="0" fontId="38" fillId="22" borderId="108" applyAlignment="1" pivotButton="0" quotePrefix="0" xfId="0">
      <alignment vertical="center" wrapText="1"/>
    </xf>
    <xf numFmtId="0" fontId="0" fillId="22" borderId="109" pivotButton="0" quotePrefix="0" xfId="0"/>
    <xf numFmtId="0" fontId="0" fillId="22" borderId="110" pivotButton="0" quotePrefix="0" xfId="0"/>
    <xf numFmtId="0" fontId="38" fillId="23" borderId="111" applyAlignment="1" pivotButton="0" quotePrefix="0" xfId="0">
      <alignment vertical="center" wrapText="1"/>
    </xf>
    <xf numFmtId="0" fontId="0" fillId="23" borderId="107" pivotButton="0" quotePrefix="0" xfId="0"/>
    <xf numFmtId="0" fontId="0" fillId="23" borderId="112" pivotButton="0" quotePrefix="0" xfId="0"/>
    <xf numFmtId="0" fontId="38" fillId="22" borderId="111" applyAlignment="1" pivotButton="0" quotePrefix="0" xfId="0">
      <alignment vertical="center" wrapText="1"/>
    </xf>
    <xf numFmtId="0" fontId="0" fillId="22" borderId="107" pivotButton="0" quotePrefix="0" xfId="0"/>
    <xf numFmtId="0" fontId="0" fillId="22" borderId="112" pivotButton="0" quotePrefix="0" xfId="0"/>
    <xf numFmtId="0" fontId="38" fillId="22" borderId="113" applyAlignment="1" pivotButton="0" quotePrefix="0" xfId="0">
      <alignment vertical="center" wrapText="1"/>
    </xf>
    <xf numFmtId="0" fontId="0" fillId="22" borderId="114" pivotButton="0" quotePrefix="0" xfId="0"/>
    <xf numFmtId="0" fontId="0" fillId="22" borderId="115" pivotButton="0" quotePrefix="0" xfId="0"/>
    <xf numFmtId="0" fontId="23" fillId="12" borderId="108" pivotButton="0" quotePrefix="0" xfId="0"/>
    <xf numFmtId="0" fontId="23" fillId="12" borderId="109" pivotButton="0" quotePrefix="0" xfId="0"/>
    <xf numFmtId="0" fontId="23" fillId="12" borderId="110" pivotButton="0" quotePrefix="0" xfId="0"/>
    <xf numFmtId="0" fontId="23" fillId="12" borderId="108" applyAlignment="1" pivotButton="0" quotePrefix="0" xfId="0">
      <alignment horizontal="center"/>
    </xf>
    <xf numFmtId="0" fontId="0" fillId="0" borderId="109" pivotButton="0" quotePrefix="0" xfId="0"/>
    <xf numFmtId="0" fontId="0" fillId="0" borderId="110" pivotButton="0" quotePrefix="0" xfId="0"/>
    <xf numFmtId="0" fontId="34" fillId="0" borderId="111" applyAlignment="1" pivotButton="0" quotePrefix="0" xfId="0">
      <alignment horizontal="center"/>
    </xf>
    <xf numFmtId="0" fontId="0" fillId="0" borderId="107" pivotButton="0" quotePrefix="0" xfId="0"/>
    <xf numFmtId="0" fontId="0" fillId="0" borderId="112" pivotButton="0" quotePrefix="0" xfId="0"/>
    <xf numFmtId="0" fontId="9" fillId="0" borderId="47" applyAlignment="1" pivotButton="0" quotePrefix="0" xfId="0">
      <alignment vertical="center"/>
    </xf>
    <xf numFmtId="0" fontId="34" fillId="0" borderId="112" pivotButton="0" quotePrefix="0" xfId="0"/>
    <xf numFmtId="0" fontId="9" fillId="0" borderId="111" applyAlignment="1" pivotButton="0" quotePrefix="0" xfId="0">
      <alignment horizontal="left"/>
    </xf>
    <xf numFmtId="0" fontId="9" fillId="0" borderId="107" pivotButton="0" quotePrefix="0" xfId="0"/>
    <xf numFmtId="164" fontId="9" fillId="16" borderId="107" pivotButton="0" quotePrefix="0" xfId="0"/>
    <xf numFmtId="164" fontId="9" fillId="0" borderId="107" pivotButton="0" quotePrefix="0" xfId="0"/>
    <xf numFmtId="165" fontId="9" fillId="0" borderId="112" pivotButton="0" quotePrefix="0" xfId="0"/>
    <xf numFmtId="0" fontId="34" fillId="0" borderId="111" applyAlignment="1" pivotButton="0" quotePrefix="0" xfId="0">
      <alignment horizontal="left"/>
    </xf>
    <xf numFmtId="165" fontId="34" fillId="0" borderId="112" pivotButton="0" quotePrefix="0" xfId="0"/>
    <xf numFmtId="0" fontId="1" fillId="0" borderId="47" pivotButton="0" quotePrefix="0" xfId="0"/>
    <xf numFmtId="164" fontId="0" fillId="0" borderId="47" pivotButton="0" quotePrefix="0" xfId="0"/>
    <xf numFmtId="0" fontId="9" fillId="0" borderId="111" pivotButton="0" quotePrefix="0" xfId="0"/>
    <xf numFmtId="9" fontId="9" fillId="0" borderId="107" pivotButton="0" quotePrefix="0" xfId="0"/>
    <xf numFmtId="10" fontId="9" fillId="0" borderId="107" pivotButton="0" quotePrefix="0" xfId="0"/>
    <xf numFmtId="0" fontId="25" fillId="17" borderId="111" applyAlignment="1" pivotButton="0" quotePrefix="0" xfId="0">
      <alignment horizontal="right"/>
    </xf>
    <xf numFmtId="165" fontId="34" fillId="0" borderId="107" pivotButton="0" quotePrefix="0" xfId="0"/>
    <xf numFmtId="0" fontId="34" fillId="0" borderId="111" applyAlignment="1" pivotButton="0" quotePrefix="0" xfId="0">
      <alignment horizontal="center" vertical="center"/>
    </xf>
    <xf numFmtId="165" fontId="34" fillId="0" borderId="112" applyAlignment="1" pivotButton="0" quotePrefix="0" xfId="0">
      <alignment horizontal="left"/>
    </xf>
    <xf numFmtId="0" fontId="34" fillId="0" borderId="111" applyAlignment="1" pivotButton="0" quotePrefix="0" xfId="0">
      <alignment vertical="center"/>
    </xf>
    <xf numFmtId="0" fontId="34" fillId="0" borderId="107" applyAlignment="1" pivotButton="0" quotePrefix="0" xfId="0">
      <alignment vertical="center"/>
    </xf>
    <xf numFmtId="164" fontId="34" fillId="0" borderId="107" pivotButton="0" quotePrefix="0" xfId="0"/>
    <xf numFmtId="0" fontId="34" fillId="0" borderId="111" applyAlignment="1" pivotButton="0" quotePrefix="0" xfId="0">
      <alignment horizontal="right"/>
    </xf>
    <xf numFmtId="0" fontId="9" fillId="0" borderId="107" applyAlignment="1" pivotButton="0" quotePrefix="0" xfId="0">
      <alignment horizontal="left"/>
    </xf>
    <xf numFmtId="0" fontId="34" fillId="0" borderId="107" applyAlignment="1" pivotButton="0" quotePrefix="0" xfId="0">
      <alignment horizontal="left"/>
    </xf>
    <xf numFmtId="0" fontId="25" fillId="17" borderId="107" applyAlignment="1" pivotButton="0" quotePrefix="0" xfId="0">
      <alignment horizontal="right"/>
    </xf>
    <xf numFmtId="0" fontId="23" fillId="12" borderId="111" applyAlignment="1" pivotButton="0" quotePrefix="0" xfId="0">
      <alignment horizontal="center"/>
    </xf>
    <xf numFmtId="0" fontId="34" fillId="0" borderId="107" pivotButton="0" quotePrefix="0" xfId="0"/>
    <xf numFmtId="0" fontId="23" fillId="24" borderId="108" applyAlignment="1" pivotButton="0" quotePrefix="0" xfId="0">
      <alignment horizontal="center" vertical="center"/>
    </xf>
    <xf numFmtId="0" fontId="23" fillId="24" borderId="110" applyAlignment="1" pivotButton="0" quotePrefix="0" xfId="0">
      <alignment horizontal="center" vertical="center"/>
    </xf>
    <xf numFmtId="0" fontId="25" fillId="23" borderId="111" applyAlignment="1" pivotButton="0" quotePrefix="0" xfId="0">
      <alignment vertical="center" wrapText="1"/>
    </xf>
    <xf numFmtId="165" fontId="35" fillId="17" borderId="112" applyAlignment="1" pivotButton="0" quotePrefix="0" xfId="0">
      <alignment horizontal="center" vertical="center"/>
    </xf>
    <xf numFmtId="165" fontId="25" fillId="17" borderId="112" pivotButton="0" quotePrefix="0" xfId="0"/>
    <xf numFmtId="0" fontId="25" fillId="17" borderId="111" applyAlignment="1" pivotButton="0" quotePrefix="0" xfId="0">
      <alignment horizontal="center" vertical="center"/>
    </xf>
    <xf numFmtId="0" fontId="25" fillId="23" borderId="113" applyAlignment="1" pivotButton="0" quotePrefix="0" xfId="0">
      <alignment vertical="center" wrapText="1"/>
    </xf>
    <xf numFmtId="0" fontId="35" fillId="17" borderId="115" applyAlignment="1" pivotButton="0" quotePrefix="0" xfId="0">
      <alignment horizontal="center" vertical="center"/>
    </xf>
    <xf numFmtId="0" fontId="34" fillId="0" borderId="107" applyAlignment="1" pivotButton="0" quotePrefix="0" xfId="0">
      <alignment horizontal="right"/>
    </xf>
    <xf numFmtId="165" fontId="23" fillId="12" borderId="112" pivotButton="0" quotePrefix="0" xfId="0"/>
    <xf numFmtId="0" fontId="9" fillId="0" borderId="113" applyAlignment="1" pivotButton="0" quotePrefix="0" xfId="0">
      <alignment horizontal="left"/>
    </xf>
    <xf numFmtId="0" fontId="34" fillId="0" borderId="114" applyAlignment="1" pivotButton="0" quotePrefix="0" xfId="0">
      <alignment horizontal="right"/>
    </xf>
    <xf numFmtId="0" fontId="0" fillId="0" borderId="114" pivotButton="0" quotePrefix="0" xfId="0"/>
    <xf numFmtId="165" fontId="25" fillId="17" borderId="115" pivotButton="0" quotePrefix="0" xfId="0"/>
    <xf numFmtId="0" fontId="34" fillId="0" borderId="113" applyAlignment="1" pivotButton="0" quotePrefix="0" xfId="0">
      <alignment horizontal="left"/>
    </xf>
    <xf numFmtId="165" fontId="9" fillId="0" borderId="115" pivotButton="0" quotePrefix="0" xfId="0"/>
    <xf numFmtId="0" fontId="36" fillId="23" borderId="108" applyAlignment="1" pivotButton="0" quotePrefix="0" xfId="0">
      <alignment vertical="center" wrapText="1"/>
    </xf>
    <xf numFmtId="0" fontId="0" fillId="23" borderId="109" pivotButton="0" quotePrefix="0" xfId="0"/>
    <xf numFmtId="0" fontId="0" fillId="23" borderId="110" pivotButton="0" quotePrefix="0" xfId="0"/>
    <xf numFmtId="0" fontId="0" fillId="23" borderId="111" pivotButton="0" quotePrefix="0" xfId="0"/>
    <xf numFmtId="0" fontId="0" fillId="23" borderId="113" pivotButton="0" quotePrefix="0" xfId="0"/>
    <xf numFmtId="0" fontId="0" fillId="23" borderId="114" pivotButton="0" quotePrefix="0" xfId="0"/>
    <xf numFmtId="0" fontId="0" fillId="23" borderId="115" pivotButton="0" quotePrefix="0" xfId="0"/>
    <xf numFmtId="0" fontId="0" fillId="0" borderId="126" pivotButton="0" quotePrefix="0" xfId="0"/>
    <xf numFmtId="0" fontId="0" fillId="0" borderId="127" pivotButton="0" quotePrefix="0" xfId="0"/>
    <xf numFmtId="0" fontId="0" fillId="0" borderId="141" pivotButton="0" quotePrefix="0" xfId="0"/>
    <xf numFmtId="0" fontId="0" fillId="0" borderId="142" pivotButton="0" quotePrefix="0" xfId="0"/>
    <xf numFmtId="0" fontId="0" fillId="0" borderId="137" pivotButton="0" quotePrefix="0" xfId="0"/>
    <xf numFmtId="0" fontId="0" fillId="0" borderId="138" pivotButton="0" quotePrefix="0" xfId="0"/>
    <xf numFmtId="0" fontId="0" fillId="0" borderId="139" pivotButton="0" quotePrefix="0" xfId="0"/>
    <xf numFmtId="0" fontId="0" fillId="0" borderId="136" pivotButton="0" quotePrefix="0" xfId="0"/>
    <xf numFmtId="0" fontId="28" fillId="0" borderId="164" pivotButton="0" quotePrefix="0" xfId="0"/>
    <xf numFmtId="0" fontId="0" fillId="0" borderId="167" pivotButton="0" quotePrefix="0" xfId="0"/>
    <xf numFmtId="0" fontId="0" fillId="0" borderId="168" pivotButton="0" quotePrefix="0" xfId="0"/>
    <xf numFmtId="0" fontId="0" fillId="0" borderId="172" pivotButton="0" quotePrefix="0" xfId="0"/>
    <xf numFmtId="0" fontId="0" fillId="0" borderId="173" pivotButton="0" quotePrefix="0" xfId="0"/>
    <xf numFmtId="0" fontId="0" fillId="0" borderId="174" pivotButton="0" quotePrefix="0" xfId="0"/>
    <xf numFmtId="0" fontId="0" fillId="0" borderId="175" pivotButton="0" quotePrefix="0" xfId="0"/>
    <xf numFmtId="0" fontId="0" fillId="0" borderId="169" pivotButton="0" quotePrefix="0" xfId="0"/>
    <xf numFmtId="0" fontId="0" fillId="0" borderId="170" pivotButton="0" quotePrefix="0" xfId="0"/>
    <xf numFmtId="0" fontId="0" fillId="0" borderId="130" pivotButton="0" quotePrefix="0" xfId="0"/>
    <xf numFmtId="0" fontId="0" fillId="0" borderId="140" pivotButton="0" quotePrefix="0" xfId="0"/>
    <xf numFmtId="0" fontId="0" fillId="0" borderId="176" pivotButton="0" quotePrefix="0" xfId="0"/>
    <xf numFmtId="0" fontId="0" fillId="0" borderId="177" pivotButton="0" quotePrefix="0" xfId="0"/>
    <xf numFmtId="0" fontId="0" fillId="0" borderId="178" pivotButton="0" quotePrefix="0" xfId="0"/>
    <xf numFmtId="0" fontId="0" fillId="0" borderId="179" pivotButton="0" quotePrefix="0" xfId="0"/>
    <xf numFmtId="0" fontId="0" fillId="0" borderId="180" pivotButton="0" quotePrefix="0" xfId="0"/>
  </cellXfs>
  <cellStyles count="2">
    <cellStyle name="Normal" xfId="0" builtinId="0"/>
    <cellStyle name="Normal 2" xfId="1"/>
  </cellStyles>
  <dxfs count="2">
    <dxf>
      <font>
        <b val="1"/>
        <color rgb="009C1C28"/>
      </font>
      <fill>
        <patternFill patternType="solid">
          <fgColor rgb="00F8D7DA"/>
          <bgColor rgb="00F8D7DA"/>
        </patternFill>
      </fill>
    </dxf>
    <dxf>
      <fill>
        <patternFill patternType="solid">
          <fgColor rgb="00C4E6E6"/>
          <bgColor rgb="00C4E6E6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Thème Office">
  <a:themeElements>
    <a:clrScheme name="Bleu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rgb="000B2A4A"/>
    <outlinePr summaryBelow="1" summaryRight="1"/>
    <pageSetUpPr fitToPage="1"/>
  </sheetPr>
  <dimension ref="A1:D34"/>
  <sheetViews>
    <sheetView showGridLines="0" workbookViewId="0">
      <selection activeCell="A1" sqref="A1"/>
    </sheetView>
  </sheetViews>
  <sheetFormatPr baseColWidth="8" defaultRowHeight="15"/>
  <cols>
    <col width="3" customWidth="1" style="134" min="1" max="1"/>
    <col width="30" customWidth="1" style="134" min="2" max="2"/>
    <col width="95" customWidth="1" style="134" min="3" max="3"/>
    <col width="3" customWidth="1" style="134" min="4" max="4"/>
  </cols>
  <sheetData>
    <row r="1" ht="46" customHeight="1" s="134">
      <c r="A1" s="188" t="n"/>
      <c r="B1" s="189" t="inlineStr">
        <is>
          <t>Trames Excel vierges</t>
        </is>
      </c>
      <c r="D1" s="188" t="n"/>
    </row>
    <row r="2" ht="22" customHeight="1" s="134">
      <c r="A2" s="190" t="n"/>
      <c r="B2" s="191" t="inlineStr">
        <is>
          <t>Comptable assistant  ·  par DCG Practice</t>
        </is>
      </c>
      <c r="D2" s="190" t="n"/>
    </row>
    <row r="4" ht="36" customHeight="1" s="134">
      <c r="B4" s="192" t="inlineStr">
        <is>
          <t>Des trames prêtes à l'emploi : journaux, TVA, rapprochement bancaire, amortissements et emprunts. Les formules sont conservées : vous n'avez qu'à remplir les cellules jaunes.</t>
        </is>
      </c>
    </row>
    <row r="6" ht="24" customHeight="1" s="134">
      <c r="B6" s="540" t="inlineStr">
        <is>
          <t>Comment lire les couleurs</t>
        </is>
      </c>
      <c r="C6" s="401" t="n"/>
    </row>
    <row r="7" ht="22" customHeight="1" s="134">
      <c r="B7" s="194" t="inlineStr">
        <is>
          <t>Cellule jaune</t>
        </is>
      </c>
      <c r="C7" s="195" t="inlineStr">
        <is>
          <t>À remplir : vos données (montants, dates, durées, libellés).</t>
        </is>
      </c>
    </row>
    <row r="8" ht="22" customHeight="1" s="134">
      <c r="B8" s="196" t="inlineStr">
        <is>
          <t>Cellule turquoise pâle</t>
        </is>
      </c>
      <c r="C8" s="195" t="inlineStr">
        <is>
          <t>Calculée automatiquement : ne pas écrire dedans.</t>
        </is>
      </c>
    </row>
    <row r="9" ht="22" customHeight="1" s="134">
      <c r="B9" s="197" t="inlineStr">
        <is>
          <t>En-tête navy</t>
        </is>
      </c>
      <c r="C9" s="195" t="inlineStr">
        <is>
          <t>Titres des colonnes et des tableaux.</t>
        </is>
      </c>
    </row>
    <row r="11" ht="24" customHeight="1" s="134">
      <c r="B11" s="540" t="inlineStr">
        <is>
          <t>Comment s'en servir</t>
        </is>
      </c>
      <c r="C11" s="401" t="n"/>
    </row>
    <row r="12" ht="20" customHeight="1" s="134">
      <c r="B12" s="198" t="inlineStr">
        <is>
          <t>▸  Complétez uniquement les cellules jaunes : les tableaux se remplissent seuls.</t>
        </is>
      </c>
    </row>
    <row r="13" ht="34" customHeight="1" s="134">
      <c r="B13" s="198" t="inlineStr">
        <is>
          <t>▸  En bas de chaque onglet (dans l'onglet « Journaux - mode d'emploi » pour les Journaux), le bloc « Comment ça marche » explique chaque formule, cellule par cellule.</t>
        </is>
      </c>
    </row>
    <row r="14" ht="34" customHeight="1" s="134">
      <c r="B14" s="198" t="inlineStr">
        <is>
          <t>▸  Journaux : tapez un n° de compte en colonne D, l'intitulé s'affiche tout seul (plan comptable 2026). Chaque bloc est un journal : copiez-le et collez-le plus bas pour en ajouter un autre.</t>
        </is>
      </c>
    </row>
    <row r="15" ht="20" customHeight="1" s="134">
      <c r="B15" s="198" t="inlineStr">
        <is>
          <t>▸  Ces trames sont des supports de travail personnels : adaptez-les et vérifiez toujours vos résultats.</t>
        </is>
      </c>
    </row>
    <row r="17" ht="24" customHeight="1" s="134">
      <c r="B17" s="540" t="inlineStr">
        <is>
          <t>Deux façons de s'en servir</t>
        </is>
      </c>
      <c r="C17" s="401" t="n"/>
    </row>
    <row r="18" ht="20" customHeight="1" s="134">
      <c r="B18" s="198" t="inlineStr">
        <is>
          <t>▸  Les utiliser telles quelles : vous remplissez les cellules jaunes et les calculs se font tout seuls.</t>
        </is>
      </c>
    </row>
    <row r="19" ht="50" customHeight="1" s="134">
      <c r="B19" s="198" t="inlineStr">
        <is>
          <t>▸  Apprendre à construire vos propres trames : chaque formule est expliquée, cellule par cellule. Vous pouvez copier un onglet dans votre propre classeur (clic droit sur l'onglet, « Déplacer ou copier », « Nouveau classeur ») pour garder les formules. Pour les journaux, copiez aussi l'onglet Plan comptable, qui fournit les intitulés des comptes.</t>
        </is>
      </c>
    </row>
    <row r="20" ht="50" customHeight="1" s="134">
      <c r="B20" s="198" t="inlineStr">
        <is>
          <t>▸  À l'examen, nous vous conseillons de travailler dans votre propre classeur, construit à partir de ces trames copiées-collées, plutôt que d'ouvrir ce fichier et ses explications : le jury peut consulter ce que vous utilisez.</t>
        </is>
      </c>
    </row>
    <row r="22" ht="24" customHeight="1" s="134">
      <c r="B22" s="540" t="inlineStr">
        <is>
          <t>Les onglets (cliquez pour y aller)</t>
        </is>
      </c>
      <c r="C22" s="401" t="n"/>
    </row>
    <row r="23" ht="34" customHeight="1" s="134">
      <c r="B23" s="199" t="inlineStr">
        <is>
          <t>Journaux</t>
        </is>
      </c>
      <c r="C23" s="200" t="inlineStr">
        <is>
          <t>Journaux AC, VE et OD en blocs à copier-coller (le premier bloc est un exemple à 3 lignes) : date, n° de pièce, compte, libellé automatique, débit, crédit, justification. Le total contrôle l'équilibre débit / crédit.</t>
        </is>
      </c>
    </row>
    <row r="24" ht="34" customHeight="1" s="134">
      <c r="B24" s="201" t="inlineStr">
        <is>
          <t>Journaux - mode d'emploi</t>
        </is>
      </c>
      <c r="C24" s="202" t="inlineStr">
        <is>
          <t>Explique chaque formule des journaux et donne le mode d'emploi : copier-coller un bloc, ajouter ou supprimer une ligne.</t>
        </is>
      </c>
    </row>
    <row r="25" ht="34" customHeight="1" s="134">
      <c r="B25" s="199" t="inlineStr">
        <is>
          <t>TVA</t>
        </is>
      </c>
      <c r="C25" s="200" t="inlineStr">
        <is>
          <t>Saisissez les bases hors taxe : la TVA collectée et déductible se calculent, puis le décompte de la TVA à décaisser ou du crédit à reporter. Le tableau de droite reproduit la présentation de la déclaration CA3 et se remplit seul.</t>
        </is>
      </c>
    </row>
    <row r="26" ht="20" customHeight="1" s="134">
      <c r="B26" s="201" t="inlineStr">
        <is>
          <t>Rapprochement bancaire</t>
        </is>
      </c>
      <c r="C26" s="202" t="inlineStr">
        <is>
          <t>Compte 512 face au relevé bancaire : les soldes rapprochés et l'écart se calculent seuls.</t>
        </is>
      </c>
    </row>
    <row r="27" ht="20" customHeight="1" s="134">
      <c r="B27" s="199" t="inlineStr">
        <is>
          <t>Amort. linéaire</t>
        </is>
      </c>
      <c r="C27" s="200" t="inlineStr">
        <is>
          <t>Plan d'amortissement linéaire, prorata temporis la première année.</t>
        </is>
      </c>
    </row>
    <row r="28" ht="20" customHeight="1" s="134">
      <c r="B28" s="201" t="inlineStr">
        <is>
          <t>Amort. dégressif</t>
        </is>
      </c>
      <c r="C28" s="202" t="inlineStr">
        <is>
          <t>Plan d'amortissement dégressif, avec passage au linéaire quand il devient plus avantageux.</t>
        </is>
      </c>
    </row>
    <row r="29" ht="20" customHeight="1" s="134">
      <c r="B29" s="199" t="inlineStr">
        <is>
          <t>Amort. unités d'œuvre</t>
        </is>
      </c>
      <c r="C29" s="200" t="inlineStr">
        <is>
          <t>Amortissement variable, selon les unités d'œuvre consommées chaque année.</t>
        </is>
      </c>
    </row>
    <row r="30" ht="20" customHeight="1" s="134">
      <c r="B30" s="201" t="inlineStr">
        <is>
          <t>Amort. dérogatoire</t>
        </is>
      </c>
      <c r="C30" s="202" t="inlineStr">
        <is>
          <t>Amortissement fiscal et comptable côte à côte, avec dotation ou reprise dérogatoire.</t>
        </is>
      </c>
    </row>
    <row r="31" ht="20" customHeight="1" s="134">
      <c r="B31" s="199" t="inlineStr">
        <is>
          <t>Emprunt annuité</t>
        </is>
      </c>
      <c r="C31" s="200" t="inlineStr">
        <is>
          <t>Tableau de remboursement d'un emprunt à annuité constante.</t>
        </is>
      </c>
    </row>
    <row r="32" ht="20" customHeight="1" s="134">
      <c r="B32" s="201" t="inlineStr">
        <is>
          <t>Emprunt amort. constant</t>
        </is>
      </c>
      <c r="C32" s="202" t="inlineStr">
        <is>
          <t>Tableau de remboursement d'un emprunt à amortissement constant.</t>
        </is>
      </c>
    </row>
    <row r="33" ht="20" customHeight="1" s="134">
      <c r="B33" s="199" t="inlineStr">
        <is>
          <t>Emprunt in fine</t>
        </is>
      </c>
      <c r="C33" s="200" t="inlineStr">
        <is>
          <t>Tableau de remboursement d'un emprunt in fine (capital remboursé à la dernière échéance).</t>
        </is>
      </c>
    </row>
    <row r="34" ht="20" customHeight="1" s="134">
      <c r="B34" s="201" t="inlineStr">
        <is>
          <t>Plan comptable</t>
        </is>
      </c>
      <c r="C34" s="202" t="inlineStr">
        <is>
          <t>Plan de comptes de l'ANC, version 2026 : il alimente les intitulés des Journaux.</t>
        </is>
      </c>
    </row>
  </sheetData>
  <mergeCells count="14">
    <mergeCell ref="B13:C13"/>
    <mergeCell ref="B6:C6"/>
    <mergeCell ref="B2:C2"/>
    <mergeCell ref="B15:C15"/>
    <mergeCell ref="B11:C11"/>
    <mergeCell ref="B19:C19"/>
    <mergeCell ref="B20:C20"/>
    <mergeCell ref="B22:C22"/>
    <mergeCell ref="B14:C14"/>
    <mergeCell ref="B17:C17"/>
    <mergeCell ref="B18:C18"/>
    <mergeCell ref="B1:C1"/>
    <mergeCell ref="B4:C4"/>
    <mergeCell ref="B12:C12"/>
  </mergeCells>
  <hyperlinks>
    <hyperlink ref="B23" location="'Journaux'!A1" display="Journaux"/>
    <hyperlink ref="B24" location="'Journaux - mode d''emploi'!A1" display="Journaux - mode d'emploi"/>
    <hyperlink ref="B25" location="'TVA'!A1" display="TVA"/>
    <hyperlink ref="B26" location="'Rapprochement bancaire'!A1" display="Rapprochement bancaire"/>
    <hyperlink ref="B27" location="'Amort. linéaire'!A1" display="Amort. linéaire"/>
    <hyperlink ref="B28" location="'Amort. dégressif'!A1" display="Amort. dégressif"/>
    <hyperlink ref="B29" location="'Amort. unités d''œuvre'!A1" display="Amort. unités d'œuvre"/>
    <hyperlink ref="B30" location="'Amort. dérogatoire'!A1" display="Amort. dérogatoire"/>
    <hyperlink ref="B31" location="'Emprunt annuité'!A1" display="Emprunt annuité"/>
    <hyperlink ref="B32" location="'Emprunt amort. constant'!A1" display="Emprunt amort. constant"/>
    <hyperlink ref="B33" location="'Emprunt in fine'!A1" display="Emprunt in fine"/>
    <hyperlink ref="B34" location="'Plan comptable'!A1" display="Plan comptable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 codeName="Feuil1">
    <tabColor rgb="000ACFCF"/>
    <outlinePr summaryBelow="1" summaryRight="1"/>
    <pageSetUpPr fitToPage="1"/>
  </sheetPr>
  <dimension ref="A1:N139"/>
  <sheetViews>
    <sheetView topLeftCell="A89" zoomScaleNormal="100" workbookViewId="0">
      <selection activeCell="M30" sqref="M30"/>
    </sheetView>
  </sheetViews>
  <sheetFormatPr baseColWidth="10" defaultRowHeight="14.5"/>
  <cols>
    <col width="28" customWidth="1" style="134" min="10" max="10"/>
  </cols>
  <sheetData>
    <row r="1">
      <c r="A1" s="402" t="inlineStr">
        <is>
          <t>JOURNAL</t>
        </is>
      </c>
      <c r="B1" s="403" t="inlineStr">
        <is>
          <t>Date</t>
        </is>
      </c>
      <c r="C1" s="403" t="inlineStr">
        <is>
          <t>N° pièce</t>
        </is>
      </c>
      <c r="D1" s="404" t="inlineStr">
        <is>
          <t xml:space="preserve">N° COMPTE </t>
        </is>
      </c>
      <c r="E1" s="404" t="inlineStr">
        <is>
          <t>LIBELLE</t>
        </is>
      </c>
      <c r="F1" s="541" t="n"/>
      <c r="G1" s="542" t="n"/>
      <c r="H1" s="404" t="inlineStr">
        <is>
          <t>DEBIT</t>
        </is>
      </c>
      <c r="I1" s="404" t="inlineStr">
        <is>
          <t>CREDIT</t>
        </is>
      </c>
      <c r="J1" s="407" t="inlineStr">
        <is>
          <t>Justification</t>
        </is>
      </c>
      <c r="K1" s="408" t="n"/>
      <c r="L1" s="408" t="n"/>
      <c r="M1" s="408" t="n"/>
      <c r="N1" s="408" t="n"/>
    </row>
    <row r="2">
      <c r="A2" s="409" t="inlineStr">
        <is>
          <t>EXEMPLE d'achat. JOURNAL : AC = achats, VE = ventes, OD = opérations diverses.</t>
        </is>
      </c>
      <c r="B2" s="100" t="n"/>
      <c r="C2" s="100" t="n"/>
      <c r="D2" s="100" t="n"/>
      <c r="E2" s="100" t="n"/>
      <c r="F2" s="100" t="n"/>
      <c r="G2" s="100" t="n"/>
      <c r="H2" s="100" t="n"/>
      <c r="I2" s="102" t="n"/>
      <c r="J2" s="410" t="n"/>
      <c r="K2" s="408" t="n"/>
      <c r="L2" s="408" t="n"/>
      <c r="M2" s="408" t="n"/>
      <c r="N2" s="408" t="n"/>
    </row>
    <row r="3">
      <c r="A3" s="411" t="inlineStr">
        <is>
          <t>AC</t>
        </is>
      </c>
      <c r="B3" s="412" t="inlineStr">
        <is>
          <t>15/03/2026</t>
        </is>
      </c>
      <c r="C3" s="412" t="inlineStr">
        <is>
          <t>FA-0125</t>
        </is>
      </c>
      <c r="D3" s="413" t="n">
        <v>607000</v>
      </c>
      <c r="E3" s="414">
        <f>IF(ISBLANK(D3),"",IFERROR(LOOKUP(2,1/(LEFT(D3&amp;"",LEN(PCG_numeros))=PCG_numeros),PCG_libelles),"Compte à vérifier"))</f>
        <v/>
      </c>
      <c r="F3" s="100" t="n"/>
      <c r="G3" s="102" t="n"/>
      <c r="H3" s="415" t="n">
        <v>1000</v>
      </c>
      <c r="I3" s="415" t="n"/>
      <c r="J3" s="416" t="inlineStr">
        <is>
          <t>Prix d'achat HT de la facture</t>
        </is>
      </c>
      <c r="K3" s="408" t="n"/>
      <c r="L3" s="408" t="n"/>
      <c r="M3" s="408" t="n"/>
      <c r="N3" s="408" t="n"/>
    </row>
    <row r="4">
      <c r="A4" s="543" t="n"/>
      <c r="B4" s="412" t="n"/>
      <c r="C4" s="412" t="n"/>
      <c r="D4" s="418" t="n">
        <v>445660</v>
      </c>
      <c r="E4" s="414">
        <f>IF(ISBLANK(D4),"",IFERROR(LOOKUP(2,1/(LEFT(D4&amp;"",LEN(PCG_numeros))=PCG_numeros),PCG_libelles),"Compte à vérifier"))</f>
        <v/>
      </c>
      <c r="F4" s="100" t="n"/>
      <c r="G4" s="102" t="n"/>
      <c r="H4" s="415" t="n">
        <v>200</v>
      </c>
      <c r="I4" s="415" t="n"/>
      <c r="J4" s="416" t="inlineStr">
        <is>
          <t>1 000 × 20 % = 200</t>
        </is>
      </c>
      <c r="K4" s="408" t="n"/>
      <c r="L4" s="408" t="n"/>
      <c r="M4" s="408" t="n"/>
      <c r="N4" s="408" t="n"/>
    </row>
    <row r="5">
      <c r="A5" s="543" t="n"/>
      <c r="B5" s="412" t="n"/>
      <c r="C5" s="412" t="n"/>
      <c r="D5" s="413" t="n">
        <v>401000</v>
      </c>
      <c r="E5" s="414">
        <f>IF(ISBLANK(D5),"",IFERROR(LOOKUP(2,1/(LEFT(D5&amp;"",LEN(PCG_numeros))=PCG_numeros),PCG_libelles),"Compte à vérifier"))</f>
        <v/>
      </c>
      <c r="F5" s="100" t="n"/>
      <c r="G5" s="102" t="n"/>
      <c r="H5" s="415" t="n"/>
      <c r="I5" s="415" t="n">
        <v>1200</v>
      </c>
      <c r="J5" s="416" t="inlineStr">
        <is>
          <t>1 000 + 200 = 1 200 TTC</t>
        </is>
      </c>
      <c r="K5" s="408" t="n"/>
      <c r="L5" s="408" t="n"/>
      <c r="M5" s="408" t="n"/>
      <c r="N5" s="408" t="n"/>
    </row>
    <row r="6">
      <c r="A6" s="544" t="n"/>
      <c r="B6" s="412" t="n"/>
      <c r="C6" s="412" t="n"/>
      <c r="D6" s="420" t="inlineStr">
        <is>
          <t>TOTAL</t>
        </is>
      </c>
      <c r="E6" s="100" t="n"/>
      <c r="F6" s="100" t="n"/>
      <c r="G6" s="102" t="n"/>
      <c r="H6" s="421">
        <f>SUM(H3:H5)</f>
        <v/>
      </c>
      <c r="I6" s="421">
        <f>SUM(I3:I5)</f>
        <v/>
      </c>
      <c r="J6" s="422" t="n"/>
      <c r="K6" s="408" t="n"/>
      <c r="L6" s="408" t="n"/>
      <c r="M6" s="408" t="n"/>
      <c r="N6" s="408" t="n"/>
    </row>
    <row r="7" ht="20" customHeight="1" s="134">
      <c r="A7" s="423" t="inlineStr">
        <is>
          <t>Libellé de l'opération :</t>
        </is>
      </c>
      <c r="B7" s="545" t="n"/>
      <c r="C7" s="546" t="n"/>
      <c r="D7" s="425" t="inlineStr">
        <is>
          <t>Achat de marchandises chez Dupont SARL, facture n° 125</t>
        </is>
      </c>
      <c r="E7" s="545" t="n"/>
      <c r="F7" s="545" t="n"/>
      <c r="G7" s="545" t="n"/>
      <c r="H7" s="545" t="n"/>
      <c r="I7" s="546" t="n"/>
      <c r="J7" s="427" t="n"/>
      <c r="K7" s="408" t="n"/>
      <c r="L7" s="408" t="n"/>
      <c r="M7" s="408" t="n"/>
      <c r="N7" s="408" t="n"/>
    </row>
    <row r="8" ht="15" customHeight="1" s="134">
      <c r="K8" s="408" t="n"/>
      <c r="L8" s="408" t="n"/>
      <c r="M8" s="408" t="n"/>
      <c r="N8" s="408" t="n"/>
    </row>
    <row r="9">
      <c r="A9" s="402" t="inlineStr">
        <is>
          <t>JOURNAL</t>
        </is>
      </c>
      <c r="B9" s="403" t="inlineStr">
        <is>
          <t>Date</t>
        </is>
      </c>
      <c r="C9" s="403" t="inlineStr">
        <is>
          <t>N° pièce</t>
        </is>
      </c>
      <c r="D9" s="404" t="inlineStr">
        <is>
          <t xml:space="preserve">N° COMPTE </t>
        </is>
      </c>
      <c r="E9" s="404" t="inlineStr">
        <is>
          <t>LIBELLE</t>
        </is>
      </c>
      <c r="F9" s="541" t="n"/>
      <c r="G9" s="542" t="n"/>
      <c r="H9" s="404" t="inlineStr">
        <is>
          <t>DEBIT</t>
        </is>
      </c>
      <c r="I9" s="404" t="inlineStr">
        <is>
          <t>CREDIT</t>
        </is>
      </c>
      <c r="J9" s="407" t="inlineStr">
        <is>
          <t>Justification</t>
        </is>
      </c>
      <c r="K9" s="408" t="n"/>
      <c r="L9" s="408" t="n"/>
      <c r="M9" s="408" t="n"/>
      <c r="N9" s="408" t="n"/>
    </row>
    <row r="10" ht="15" customHeight="1" s="134" thickBot="1">
      <c r="A10" s="428" t="n"/>
      <c r="B10" s="100" t="n"/>
      <c r="C10" s="100" t="n"/>
      <c r="D10" s="100" t="n"/>
      <c r="E10" s="100" t="n"/>
      <c r="F10" s="100" t="n"/>
      <c r="G10" s="100" t="n"/>
      <c r="H10" s="100" t="n"/>
      <c r="I10" s="102" t="n"/>
      <c r="J10" s="410" t="n"/>
      <c r="K10" s="408" t="n"/>
      <c r="L10" s="408" t="n"/>
      <c r="M10" s="408" t="n"/>
      <c r="N10" s="408" t="n"/>
    </row>
    <row r="11" ht="15" customHeight="1" s="134" thickBot="1">
      <c r="A11" s="429" t="n"/>
      <c r="B11" s="412" t="n"/>
      <c r="C11" s="412" t="n"/>
      <c r="D11" s="413" t="n"/>
      <c r="E11" s="414">
        <f>IF(ISBLANK(D11),"",IFERROR(LOOKUP(2,1/(LEFT(D11&amp;"",LEN(PCG_numeros))=PCG_numeros),PCG_libelles),"Compte à vérifier"))</f>
        <v/>
      </c>
      <c r="F11" s="100" t="n"/>
      <c r="G11" s="102" t="n"/>
      <c r="H11" s="415" t="n"/>
      <c r="I11" s="415" t="n"/>
      <c r="J11" s="430" t="n"/>
      <c r="K11" s="408" t="n"/>
      <c r="L11" s="408" t="n"/>
      <c r="M11" s="408" t="n"/>
      <c r="N11" s="408" t="n"/>
    </row>
    <row r="12">
      <c r="A12" s="543" t="n"/>
      <c r="B12" s="412" t="n"/>
      <c r="C12" s="412" t="n"/>
      <c r="D12" s="418" t="n"/>
      <c r="E12" s="414">
        <f>IF(ISBLANK(D12),"",IFERROR(LOOKUP(2,1/(LEFT(D12&amp;"",LEN(PCG_numeros))=PCG_numeros),PCG_libelles),"Compte à vérifier"))</f>
        <v/>
      </c>
      <c r="F12" s="100" t="n"/>
      <c r="G12" s="102" t="n"/>
      <c r="H12" s="415" t="n"/>
      <c r="I12" s="415" t="n"/>
      <c r="J12" s="430" t="n"/>
      <c r="K12" s="408" t="n"/>
      <c r="L12" s="408" t="n"/>
      <c r="M12" s="408" t="n"/>
      <c r="N12" s="408" t="n"/>
    </row>
    <row r="13">
      <c r="A13" s="543" t="n"/>
      <c r="B13" s="412" t="n"/>
      <c r="C13" s="412" t="n"/>
      <c r="D13" s="413" t="n"/>
      <c r="E13" s="414">
        <f>IF(ISBLANK(D13),"",IFERROR(LOOKUP(2,1/(LEFT(D13&amp;"",LEN(PCG_numeros))=PCG_numeros),PCG_libelles),"Compte à vérifier"))</f>
        <v/>
      </c>
      <c r="F13" s="100" t="n"/>
      <c r="G13" s="102" t="n"/>
      <c r="H13" s="415" t="n"/>
      <c r="I13" s="415" t="n"/>
      <c r="J13" s="430" t="n"/>
      <c r="K13" s="408" t="n"/>
      <c r="L13" s="408" t="n"/>
      <c r="M13" s="408" t="n"/>
      <c r="N13" s="408" t="n"/>
    </row>
    <row r="14">
      <c r="A14" s="543" t="n"/>
      <c r="B14" s="412" t="n"/>
      <c r="C14" s="412" t="n"/>
      <c r="D14" s="413" t="n"/>
      <c r="E14" s="414">
        <f>IF(ISBLANK(D14),"",IFERROR(LOOKUP(2,1/(LEFT(D14&amp;"",LEN(PCG_numeros))=PCG_numeros),PCG_libelles),"Compte à vérifier"))</f>
        <v/>
      </c>
      <c r="F14" s="100" t="n"/>
      <c r="G14" s="102" t="n"/>
      <c r="H14" s="415" t="n"/>
      <c r="I14" s="415" t="n"/>
      <c r="J14" s="430" t="n"/>
      <c r="K14" s="408" t="n"/>
      <c r="L14" s="408" t="n"/>
      <c r="M14" s="408" t="n"/>
      <c r="N14" s="408" t="n"/>
    </row>
    <row r="15">
      <c r="A15" s="543" t="n"/>
      <c r="B15" s="412" t="n"/>
      <c r="C15" s="412" t="n"/>
      <c r="D15" s="413" t="n"/>
      <c r="E15" s="414">
        <f>IF(ISBLANK(D15),"",IFERROR(LOOKUP(2,1/(LEFT(D15&amp;"",LEN(PCG_numeros))=PCG_numeros),PCG_libelles),"Compte à vérifier"))</f>
        <v/>
      </c>
      <c r="F15" s="100" t="n"/>
      <c r="G15" s="102" t="n"/>
      <c r="H15" s="415" t="n"/>
      <c r="I15" s="415" t="n"/>
      <c r="J15" s="430" t="n"/>
      <c r="K15" s="408" t="n"/>
      <c r="L15" s="408" t="n"/>
      <c r="M15" s="408" t="n"/>
      <c r="N15" s="408" t="n"/>
    </row>
    <row r="16">
      <c r="A16" s="543" t="n"/>
      <c r="B16" s="412" t="n"/>
      <c r="C16" s="412" t="n"/>
      <c r="D16" s="413" t="n"/>
      <c r="E16" s="412">
        <f>IF(ISBLANK(D16),"",IFERROR(LOOKUP(2,1/(LEFT(D16&amp;"",LEN(PCG_numeros))=PCG_numeros),PCG_libelles),"Compte à vérifier"))</f>
        <v/>
      </c>
      <c r="F16" s="100" t="n"/>
      <c r="G16" s="102" t="n"/>
      <c r="H16" s="415" t="n"/>
      <c r="I16" s="415" t="n"/>
      <c r="J16" s="430" t="n"/>
      <c r="K16" s="408" t="n"/>
      <c r="L16" s="408" t="n"/>
      <c r="M16" s="408" t="n"/>
      <c r="N16" s="408" t="n"/>
    </row>
    <row r="17">
      <c r="A17" s="544" t="n"/>
      <c r="B17" s="432" t="n"/>
      <c r="C17" s="432" t="n"/>
      <c r="D17" s="433" t="inlineStr">
        <is>
          <t>TOTAL</t>
        </is>
      </c>
      <c r="E17" s="547" t="n"/>
      <c r="F17" s="547" t="n"/>
      <c r="G17" s="548" t="n"/>
      <c r="H17" s="436">
        <f>SUM(H11:H16)</f>
        <v/>
      </c>
      <c r="I17" s="436">
        <f>SUM(I11:I16)</f>
        <v/>
      </c>
      <c r="J17" s="437" t="n"/>
      <c r="K17" s="408" t="n"/>
      <c r="L17" s="408" t="n"/>
      <c r="M17" s="408" t="n"/>
      <c r="N17" s="408" t="n"/>
    </row>
    <row r="18" ht="15" customHeight="1" s="134">
      <c r="A18" s="438" t="n"/>
      <c r="B18" s="439" t="n"/>
      <c r="C18" s="439" t="n"/>
      <c r="D18" s="439" t="n"/>
      <c r="E18" s="439" t="n"/>
      <c r="F18" s="439" t="n"/>
      <c r="G18" s="439" t="n"/>
      <c r="H18" s="439" t="n"/>
      <c r="I18" s="439" t="n"/>
      <c r="J18" s="438" t="n"/>
      <c r="K18" s="408" t="n"/>
      <c r="L18" s="408" t="n"/>
      <c r="M18" s="408" t="n"/>
      <c r="N18" s="408" t="n"/>
    </row>
    <row r="19">
      <c r="K19" s="408" t="n"/>
      <c r="L19" s="408" t="n"/>
      <c r="M19" s="408" t="n"/>
      <c r="N19" s="408" t="n"/>
    </row>
    <row r="20">
      <c r="A20" s="402" t="inlineStr">
        <is>
          <t>JOURNAL</t>
        </is>
      </c>
      <c r="B20" s="403" t="inlineStr">
        <is>
          <t>Date</t>
        </is>
      </c>
      <c r="C20" s="403" t="inlineStr">
        <is>
          <t>N° pièce</t>
        </is>
      </c>
      <c r="D20" s="404" t="inlineStr">
        <is>
          <t xml:space="preserve">N° COMPTE </t>
        </is>
      </c>
      <c r="E20" s="404" t="inlineStr">
        <is>
          <t>LIBELLE</t>
        </is>
      </c>
      <c r="F20" s="541" t="n"/>
      <c r="G20" s="542" t="n"/>
      <c r="H20" s="404" t="inlineStr">
        <is>
          <t>DEBIT</t>
        </is>
      </c>
      <c r="I20" s="404" t="inlineStr">
        <is>
          <t>CREDIT</t>
        </is>
      </c>
      <c r="J20" s="407" t="inlineStr">
        <is>
          <t>Justification</t>
        </is>
      </c>
      <c r="K20" s="408" t="n"/>
      <c r="L20" s="408" t="n"/>
      <c r="M20" s="408" t="n"/>
      <c r="N20" s="408" t="n"/>
    </row>
    <row r="21" ht="15" customHeight="1" s="134" thickBot="1">
      <c r="A21" s="428" t="n"/>
      <c r="B21" s="100" t="n"/>
      <c r="C21" s="100" t="n"/>
      <c r="D21" s="100" t="n"/>
      <c r="E21" s="100" t="n"/>
      <c r="F21" s="100" t="n"/>
      <c r="G21" s="100" t="n"/>
      <c r="H21" s="100" t="n"/>
      <c r="I21" s="102" t="n"/>
      <c r="J21" s="410" t="n"/>
      <c r="K21" s="408" t="n"/>
      <c r="L21" s="408" t="n"/>
      <c r="M21" s="408" t="n"/>
      <c r="N21" s="408" t="n"/>
    </row>
    <row r="22" ht="15" customHeight="1" s="134" thickBot="1">
      <c r="A22" s="429" t="n"/>
      <c r="B22" s="412" t="n"/>
      <c r="C22" s="412" t="n"/>
      <c r="D22" s="413" t="n"/>
      <c r="E22" s="414">
        <f>IF(ISBLANK(D22),"",IFERROR(LOOKUP(2,1/(LEFT(D22&amp;"",LEN(PCG_numeros))=PCG_numeros),PCG_libelles),"Compte à vérifier"))</f>
        <v/>
      </c>
      <c r="F22" s="100" t="n"/>
      <c r="G22" s="102" t="n"/>
      <c r="H22" s="415" t="n"/>
      <c r="I22" s="415" t="n"/>
      <c r="J22" s="430" t="n"/>
      <c r="K22" s="408" t="n"/>
      <c r="L22" s="408" t="n"/>
      <c r="M22" s="408" t="n"/>
      <c r="N22" s="408" t="n"/>
    </row>
    <row r="23">
      <c r="A23" s="543" t="n"/>
      <c r="B23" s="412" t="n"/>
      <c r="C23" s="412" t="n"/>
      <c r="D23" s="418" t="n"/>
      <c r="E23" s="414">
        <f>IF(ISBLANK(D23),"",IFERROR(LOOKUP(2,1/(LEFT(D23&amp;"",LEN(PCG_numeros))=PCG_numeros),PCG_libelles),"Compte à vérifier"))</f>
        <v/>
      </c>
      <c r="F23" s="100" t="n"/>
      <c r="G23" s="102" t="n"/>
      <c r="H23" s="415" t="n"/>
      <c r="I23" s="415" t="n"/>
      <c r="J23" s="430" t="n"/>
      <c r="K23" s="408" t="n"/>
      <c r="L23" s="408" t="n"/>
      <c r="M23" s="408" t="n"/>
      <c r="N23" s="408" t="n"/>
    </row>
    <row r="24">
      <c r="A24" s="543" t="n"/>
      <c r="B24" s="412" t="n"/>
      <c r="C24" s="412" t="n"/>
      <c r="D24" s="413" t="n"/>
      <c r="E24" s="414">
        <f>IF(ISBLANK(D24),"",IFERROR(LOOKUP(2,1/(LEFT(D24&amp;"",LEN(PCG_numeros))=PCG_numeros),PCG_libelles),"Compte à vérifier"))</f>
        <v/>
      </c>
      <c r="F24" s="100" t="n"/>
      <c r="G24" s="102" t="n"/>
      <c r="H24" s="415" t="n"/>
      <c r="I24" s="415" t="n"/>
      <c r="J24" s="430" t="n"/>
      <c r="K24" s="408" t="n"/>
      <c r="L24" s="408" t="n"/>
      <c r="M24" s="408" t="n"/>
      <c r="N24" s="408" t="n"/>
    </row>
    <row r="25">
      <c r="A25" s="543" t="n"/>
      <c r="B25" s="412" t="n"/>
      <c r="C25" s="412" t="n"/>
      <c r="D25" s="413" t="n"/>
      <c r="E25" s="414">
        <f>IF(ISBLANK(D25),"",IFERROR(LOOKUP(2,1/(LEFT(D25&amp;"",LEN(PCG_numeros))=PCG_numeros),PCG_libelles),"Compte à vérifier"))</f>
        <v/>
      </c>
      <c r="F25" s="100" t="n"/>
      <c r="G25" s="102" t="n"/>
      <c r="H25" s="415" t="n"/>
      <c r="I25" s="415" t="n"/>
      <c r="J25" s="430" t="n"/>
      <c r="K25" s="408" t="n"/>
      <c r="L25" s="408" t="n"/>
      <c r="M25" s="408" t="n"/>
      <c r="N25" s="408" t="n"/>
    </row>
    <row r="26">
      <c r="A26" s="543" t="n"/>
      <c r="B26" s="412" t="n"/>
      <c r="C26" s="412" t="n"/>
      <c r="D26" s="413" t="n"/>
      <c r="E26" s="414">
        <f>IF(ISBLANK(D26),"",IFERROR(LOOKUP(2,1/(LEFT(D26&amp;"",LEN(PCG_numeros))=PCG_numeros),PCG_libelles),"Compte à vérifier"))</f>
        <v/>
      </c>
      <c r="F26" s="100" t="n"/>
      <c r="G26" s="102" t="n"/>
      <c r="H26" s="415" t="n"/>
      <c r="I26" s="415" t="n"/>
      <c r="J26" s="430" t="n"/>
      <c r="K26" s="408" t="n"/>
      <c r="L26" s="408" t="n"/>
      <c r="M26" s="408" t="n"/>
      <c r="N26" s="408" t="n"/>
    </row>
    <row r="27">
      <c r="A27" s="543" t="n"/>
      <c r="B27" s="412" t="n"/>
      <c r="C27" s="412" t="n"/>
      <c r="D27" s="413" t="n"/>
      <c r="E27" s="412">
        <f>IF(ISBLANK(D27),"",IFERROR(LOOKUP(2,1/(LEFT(D27&amp;"",LEN(PCG_numeros))=PCG_numeros),PCG_libelles),"Compte à vérifier"))</f>
        <v/>
      </c>
      <c r="F27" s="100" t="n"/>
      <c r="G27" s="102" t="n"/>
      <c r="H27" s="415" t="n"/>
      <c r="I27" s="415" t="n"/>
      <c r="J27" s="430" t="n"/>
      <c r="K27" s="408" t="n"/>
      <c r="L27" s="408" t="n"/>
      <c r="M27" s="408" t="n"/>
      <c r="N27" s="408" t="n"/>
    </row>
    <row r="28">
      <c r="A28" s="544" t="n"/>
      <c r="B28" s="432" t="n"/>
      <c r="C28" s="432" t="n"/>
      <c r="D28" s="433" t="inlineStr">
        <is>
          <t>TOTAL</t>
        </is>
      </c>
      <c r="E28" s="547" t="n"/>
      <c r="F28" s="547" t="n"/>
      <c r="G28" s="548" t="n"/>
      <c r="H28" s="436">
        <f>SUM(H22:H27)</f>
        <v/>
      </c>
      <c r="I28" s="436">
        <f>SUM(I22:I27)</f>
        <v/>
      </c>
      <c r="J28" s="437" t="n"/>
      <c r="K28" s="408" t="n"/>
      <c r="L28" s="408" t="n"/>
      <c r="M28" s="408" t="n"/>
      <c r="N28" s="408" t="n"/>
    </row>
    <row r="29" ht="15" customHeight="1" s="134">
      <c r="A29" s="438" t="n"/>
      <c r="B29" s="439" t="n"/>
      <c r="C29" s="439" t="n"/>
      <c r="D29" s="439" t="n"/>
      <c r="E29" s="439" t="n"/>
      <c r="F29" s="439" t="n"/>
      <c r="G29" s="439" t="n"/>
      <c r="H29" s="439" t="n"/>
      <c r="I29" s="439" t="n"/>
      <c r="J29" s="438" t="n"/>
      <c r="K29" s="408" t="n"/>
      <c r="L29" s="408" t="n"/>
      <c r="M29" s="408" t="n"/>
      <c r="N29" s="408" t="n"/>
    </row>
    <row r="30">
      <c r="K30" s="408" t="n"/>
      <c r="L30" s="408" t="n"/>
      <c r="M30" s="408" t="n"/>
      <c r="N30" s="408" t="n"/>
    </row>
    <row r="31">
      <c r="A31" s="402" t="inlineStr">
        <is>
          <t>JOURNAL</t>
        </is>
      </c>
      <c r="B31" s="403" t="inlineStr">
        <is>
          <t>Date</t>
        </is>
      </c>
      <c r="C31" s="403" t="inlineStr">
        <is>
          <t>N° pièce</t>
        </is>
      </c>
      <c r="D31" s="404" t="inlineStr">
        <is>
          <t xml:space="preserve">N° COMPTE </t>
        </is>
      </c>
      <c r="E31" s="404" t="inlineStr">
        <is>
          <t>LIBELLE</t>
        </is>
      </c>
      <c r="F31" s="541" t="n"/>
      <c r="G31" s="542" t="n"/>
      <c r="H31" s="404" t="inlineStr">
        <is>
          <t>DEBIT</t>
        </is>
      </c>
      <c r="I31" s="404" t="inlineStr">
        <is>
          <t>CREDIT</t>
        </is>
      </c>
      <c r="J31" s="407" t="inlineStr">
        <is>
          <t>Justification</t>
        </is>
      </c>
      <c r="K31" s="408" t="n"/>
      <c r="L31" s="408" t="n"/>
      <c r="M31" s="408" t="n"/>
      <c r="N31" s="408" t="n"/>
    </row>
    <row r="32" ht="15" customHeight="1" s="134" thickBot="1">
      <c r="A32" s="428" t="n"/>
      <c r="B32" s="100" t="n"/>
      <c r="C32" s="100" t="n"/>
      <c r="D32" s="100" t="n"/>
      <c r="E32" s="100" t="n"/>
      <c r="F32" s="100" t="n"/>
      <c r="G32" s="100" t="n"/>
      <c r="H32" s="100" t="n"/>
      <c r="I32" s="102" t="n"/>
      <c r="J32" s="410" t="n"/>
      <c r="K32" s="408" t="n"/>
      <c r="L32" s="408" t="n"/>
      <c r="M32" s="408" t="n"/>
      <c r="N32" s="408" t="n"/>
    </row>
    <row r="33" ht="15" customHeight="1" s="134" thickBot="1">
      <c r="A33" s="429" t="n"/>
      <c r="B33" s="412" t="n"/>
      <c r="C33" s="412" t="n"/>
      <c r="D33" s="413" t="n"/>
      <c r="E33" s="414">
        <f>IF(ISBLANK(D33),"",IFERROR(LOOKUP(2,1/(LEFT(D33&amp;"",LEN(PCG_numeros))=PCG_numeros),PCG_libelles),"Compte à vérifier"))</f>
        <v/>
      </c>
      <c r="F33" s="100" t="n"/>
      <c r="G33" s="102" t="n"/>
      <c r="H33" s="415" t="n"/>
      <c r="I33" s="415" t="n"/>
      <c r="J33" s="430" t="n"/>
      <c r="K33" s="408" t="n"/>
      <c r="L33" s="408" t="n"/>
      <c r="M33" s="408" t="n"/>
      <c r="N33" s="408" t="n"/>
    </row>
    <row r="34">
      <c r="A34" s="543" t="n"/>
      <c r="B34" s="412" t="n"/>
      <c r="C34" s="412" t="n"/>
      <c r="D34" s="418" t="n"/>
      <c r="E34" s="414">
        <f>IF(ISBLANK(D34),"",IFERROR(LOOKUP(2,1/(LEFT(D34&amp;"",LEN(PCG_numeros))=PCG_numeros),PCG_libelles),"Compte à vérifier"))</f>
        <v/>
      </c>
      <c r="F34" s="100" t="n"/>
      <c r="G34" s="102" t="n"/>
      <c r="H34" s="415" t="n"/>
      <c r="I34" s="415" t="n"/>
      <c r="J34" s="430" t="n"/>
      <c r="K34" s="408" t="n"/>
      <c r="L34" s="408" t="n"/>
      <c r="M34" s="408" t="n"/>
      <c r="N34" s="408" t="n"/>
    </row>
    <row r="35">
      <c r="A35" s="543" t="n"/>
      <c r="B35" s="412" t="n"/>
      <c r="C35" s="412" t="n"/>
      <c r="D35" s="413" t="n"/>
      <c r="E35" s="414">
        <f>IF(ISBLANK(D35),"",IFERROR(LOOKUP(2,1/(LEFT(D35&amp;"",LEN(PCG_numeros))=PCG_numeros),PCG_libelles),"Compte à vérifier"))</f>
        <v/>
      </c>
      <c r="F35" s="100" t="n"/>
      <c r="G35" s="102" t="n"/>
      <c r="H35" s="415" t="n"/>
      <c r="I35" s="415" t="n"/>
      <c r="J35" s="430" t="n"/>
      <c r="K35" s="408" t="n"/>
      <c r="L35" s="408" t="n"/>
      <c r="M35" s="408" t="n"/>
      <c r="N35" s="408" t="n"/>
    </row>
    <row r="36">
      <c r="A36" s="543" t="n"/>
      <c r="B36" s="412" t="n"/>
      <c r="C36" s="412" t="n"/>
      <c r="D36" s="413" t="n"/>
      <c r="E36" s="414">
        <f>IF(ISBLANK(D36),"",IFERROR(LOOKUP(2,1/(LEFT(D36&amp;"",LEN(PCG_numeros))=PCG_numeros),PCG_libelles),"Compte à vérifier"))</f>
        <v/>
      </c>
      <c r="F36" s="100" t="n"/>
      <c r="G36" s="102" t="n"/>
      <c r="H36" s="415" t="n"/>
      <c r="I36" s="415" t="n"/>
      <c r="J36" s="430" t="n"/>
      <c r="K36" s="408" t="n"/>
      <c r="L36" s="408" t="n"/>
      <c r="M36" s="408" t="n"/>
      <c r="N36" s="408" t="n"/>
    </row>
    <row r="37">
      <c r="A37" s="543" t="n"/>
      <c r="B37" s="412" t="n"/>
      <c r="C37" s="412" t="n"/>
      <c r="D37" s="413" t="n"/>
      <c r="E37" s="414">
        <f>IF(ISBLANK(D37),"",IFERROR(LOOKUP(2,1/(LEFT(D37&amp;"",LEN(PCG_numeros))=PCG_numeros),PCG_libelles),"Compte à vérifier"))</f>
        <v/>
      </c>
      <c r="F37" s="100" t="n"/>
      <c r="G37" s="102" t="n"/>
      <c r="H37" s="415" t="n"/>
      <c r="I37" s="415" t="n"/>
      <c r="J37" s="430" t="n"/>
      <c r="K37" s="408" t="n"/>
      <c r="L37" s="408" t="n"/>
      <c r="M37" s="408" t="n"/>
      <c r="N37" s="408" t="n"/>
    </row>
    <row r="38">
      <c r="A38" s="543" t="n"/>
      <c r="B38" s="412" t="n"/>
      <c r="C38" s="412" t="n"/>
      <c r="D38" s="413" t="n"/>
      <c r="E38" s="412">
        <f>IF(ISBLANK(D38),"",IFERROR(LOOKUP(2,1/(LEFT(D38&amp;"",LEN(PCG_numeros))=PCG_numeros),PCG_libelles),"Compte à vérifier"))</f>
        <v/>
      </c>
      <c r="F38" s="100" t="n"/>
      <c r="G38" s="102" t="n"/>
      <c r="H38" s="415" t="n"/>
      <c r="I38" s="415" t="n"/>
      <c r="J38" s="430" t="n"/>
      <c r="K38" s="408" t="n"/>
      <c r="L38" s="408" t="n"/>
      <c r="M38" s="408" t="n"/>
      <c r="N38" s="408" t="n"/>
    </row>
    <row r="39">
      <c r="A39" s="544" t="n"/>
      <c r="B39" s="432" t="n"/>
      <c r="C39" s="432" t="n"/>
      <c r="D39" s="433" t="inlineStr">
        <is>
          <t>TOTAL</t>
        </is>
      </c>
      <c r="E39" s="547" t="n"/>
      <c r="F39" s="547" t="n"/>
      <c r="G39" s="548" t="n"/>
      <c r="H39" s="436">
        <f>SUM(H33:H38)</f>
        <v/>
      </c>
      <c r="I39" s="436">
        <f>SUM(I33:I38)</f>
        <v/>
      </c>
      <c r="J39" s="437" t="n"/>
      <c r="K39" s="408" t="n"/>
      <c r="L39" s="408" t="n"/>
      <c r="M39" s="408" t="n"/>
      <c r="N39" s="408" t="n"/>
    </row>
    <row r="40" ht="15" customHeight="1" s="134">
      <c r="A40" s="438" t="n"/>
      <c r="B40" s="439" t="n"/>
      <c r="C40" s="439" t="n"/>
      <c r="D40" s="439" t="n"/>
      <c r="E40" s="439" t="n"/>
      <c r="F40" s="439" t="n"/>
      <c r="G40" s="439" t="n"/>
      <c r="H40" s="439" t="n"/>
      <c r="I40" s="439" t="n"/>
      <c r="J40" s="438" t="n"/>
      <c r="K40" s="408" t="n"/>
      <c r="L40" s="408" t="n"/>
      <c r="M40" s="408" t="n"/>
      <c r="N40" s="408" t="n"/>
    </row>
    <row r="41">
      <c r="K41" s="408" t="n"/>
      <c r="L41" s="408" t="n"/>
      <c r="M41" s="408" t="n"/>
      <c r="N41" s="408" t="n"/>
    </row>
    <row r="42">
      <c r="A42" s="402" t="inlineStr">
        <is>
          <t>JOURNAL</t>
        </is>
      </c>
      <c r="B42" s="403" t="inlineStr">
        <is>
          <t>Date</t>
        </is>
      </c>
      <c r="C42" s="403" t="inlineStr">
        <is>
          <t>N° pièce</t>
        </is>
      </c>
      <c r="D42" s="404" t="inlineStr">
        <is>
          <t xml:space="preserve">N° COMPTE </t>
        </is>
      </c>
      <c r="E42" s="404" t="inlineStr">
        <is>
          <t>LIBELLE</t>
        </is>
      </c>
      <c r="F42" s="541" t="n"/>
      <c r="G42" s="542" t="n"/>
      <c r="H42" s="404" t="inlineStr">
        <is>
          <t>DEBIT</t>
        </is>
      </c>
      <c r="I42" s="404" t="inlineStr">
        <is>
          <t>CREDIT</t>
        </is>
      </c>
      <c r="J42" s="407" t="inlineStr">
        <is>
          <t>Justification</t>
        </is>
      </c>
      <c r="K42" s="408" t="n"/>
      <c r="L42" s="408" t="n"/>
      <c r="M42" s="408" t="n"/>
      <c r="N42" s="408" t="n"/>
    </row>
    <row r="43" ht="15" customHeight="1" s="134" thickBot="1">
      <c r="A43" s="428" t="n"/>
      <c r="B43" s="100" t="n"/>
      <c r="C43" s="100" t="n"/>
      <c r="D43" s="100" t="n"/>
      <c r="E43" s="100" t="n"/>
      <c r="F43" s="100" t="n"/>
      <c r="G43" s="100" t="n"/>
      <c r="H43" s="100" t="n"/>
      <c r="I43" s="102" t="n"/>
      <c r="J43" s="410" t="n"/>
      <c r="K43" s="408" t="n"/>
      <c r="L43" s="408" t="n"/>
      <c r="M43" s="408" t="n"/>
      <c r="N43" s="408" t="n"/>
    </row>
    <row r="44" ht="15" customHeight="1" s="134" thickBot="1">
      <c r="A44" s="429" t="n"/>
      <c r="B44" s="412" t="n"/>
      <c r="C44" s="412" t="n"/>
      <c r="D44" s="413" t="n"/>
      <c r="E44" s="414">
        <f>IF(ISBLANK(D44),"",IFERROR(LOOKUP(2,1/(LEFT(D44&amp;"",LEN(PCG_numeros))=PCG_numeros),PCG_libelles),"Compte à vérifier"))</f>
        <v/>
      </c>
      <c r="F44" s="100" t="n"/>
      <c r="G44" s="102" t="n"/>
      <c r="H44" s="415" t="n"/>
      <c r="I44" s="415" t="n"/>
      <c r="J44" s="430" t="n"/>
      <c r="K44" s="408" t="n"/>
      <c r="L44" s="408" t="n"/>
      <c r="M44" s="408" t="n"/>
      <c r="N44" s="408" t="n"/>
    </row>
    <row r="45">
      <c r="A45" s="543" t="n"/>
      <c r="B45" s="412" t="n"/>
      <c r="C45" s="412" t="n"/>
      <c r="D45" s="418" t="n"/>
      <c r="E45" s="414">
        <f>IF(ISBLANK(D45),"",IFERROR(LOOKUP(2,1/(LEFT(D45&amp;"",LEN(PCG_numeros))=PCG_numeros),PCG_libelles),"Compte à vérifier"))</f>
        <v/>
      </c>
      <c r="F45" s="100" t="n"/>
      <c r="G45" s="102" t="n"/>
      <c r="H45" s="415" t="n"/>
      <c r="I45" s="415" t="n"/>
      <c r="J45" s="430" t="n"/>
      <c r="K45" s="408" t="n"/>
      <c r="L45" s="408" t="n"/>
      <c r="M45" s="408" t="n"/>
      <c r="N45" s="408" t="n"/>
    </row>
    <row r="46">
      <c r="A46" s="543" t="n"/>
      <c r="B46" s="412" t="n"/>
      <c r="C46" s="412" t="n"/>
      <c r="D46" s="413" t="n"/>
      <c r="E46" s="414">
        <f>IF(ISBLANK(D46),"",IFERROR(LOOKUP(2,1/(LEFT(D46&amp;"",LEN(PCG_numeros))=PCG_numeros),PCG_libelles),"Compte à vérifier"))</f>
        <v/>
      </c>
      <c r="F46" s="100" t="n"/>
      <c r="G46" s="102" t="n"/>
      <c r="H46" s="415" t="n"/>
      <c r="I46" s="415" t="n"/>
      <c r="J46" s="430" t="n"/>
      <c r="K46" s="408" t="n"/>
      <c r="L46" s="408" t="n"/>
      <c r="M46" s="408" t="n"/>
      <c r="N46" s="408" t="n"/>
    </row>
    <row r="47">
      <c r="A47" s="543" t="n"/>
      <c r="B47" s="412" t="n"/>
      <c r="C47" s="412" t="n"/>
      <c r="D47" s="413" t="n"/>
      <c r="E47" s="414">
        <f>IF(ISBLANK(D47),"",IFERROR(LOOKUP(2,1/(LEFT(D47&amp;"",LEN(PCG_numeros))=PCG_numeros),PCG_libelles),"Compte à vérifier"))</f>
        <v/>
      </c>
      <c r="F47" s="100" t="n"/>
      <c r="G47" s="102" t="n"/>
      <c r="H47" s="415" t="n"/>
      <c r="I47" s="415" t="n"/>
      <c r="J47" s="430" t="n"/>
      <c r="K47" s="408" t="n"/>
      <c r="L47" s="408" t="n"/>
      <c r="M47" s="408" t="n"/>
      <c r="N47" s="408" t="n"/>
    </row>
    <row r="48">
      <c r="A48" s="543" t="n"/>
      <c r="B48" s="412" t="n"/>
      <c r="C48" s="412" t="n"/>
      <c r="D48" s="413" t="n"/>
      <c r="E48" s="414">
        <f>IF(ISBLANK(D48),"",IFERROR(LOOKUP(2,1/(LEFT(D48&amp;"",LEN(PCG_numeros))=PCG_numeros),PCG_libelles),"Compte à vérifier"))</f>
        <v/>
      </c>
      <c r="F48" s="100" t="n"/>
      <c r="G48" s="102" t="n"/>
      <c r="H48" s="415" t="n"/>
      <c r="I48" s="415" t="n"/>
      <c r="J48" s="430" t="n"/>
      <c r="K48" s="408" t="n"/>
      <c r="L48" s="408" t="n"/>
      <c r="M48" s="408" t="n"/>
      <c r="N48" s="408" t="n"/>
    </row>
    <row r="49">
      <c r="A49" s="543" t="n"/>
      <c r="B49" s="412" t="n"/>
      <c r="C49" s="412" t="n"/>
      <c r="D49" s="413" t="n"/>
      <c r="E49" s="412">
        <f>IF(ISBLANK(D49),"",IFERROR(LOOKUP(2,1/(LEFT(D49&amp;"",LEN(PCG_numeros))=PCG_numeros),PCG_libelles),"Compte à vérifier"))</f>
        <v/>
      </c>
      <c r="F49" s="100" t="n"/>
      <c r="G49" s="102" t="n"/>
      <c r="H49" s="415" t="n"/>
      <c r="I49" s="415" t="n"/>
      <c r="J49" s="430" t="n"/>
      <c r="K49" s="408" t="n"/>
      <c r="L49" s="408" t="n"/>
      <c r="M49" s="408" t="n"/>
      <c r="N49" s="408" t="n"/>
    </row>
    <row r="50">
      <c r="A50" s="544" t="n"/>
      <c r="B50" s="432" t="n"/>
      <c r="C50" s="432" t="n"/>
      <c r="D50" s="433" t="inlineStr">
        <is>
          <t>TOTAL</t>
        </is>
      </c>
      <c r="E50" s="547" t="n"/>
      <c r="F50" s="547" t="n"/>
      <c r="G50" s="548" t="n"/>
      <c r="H50" s="436">
        <f>SUM(H44:H49)</f>
        <v/>
      </c>
      <c r="I50" s="436">
        <f>SUM(I44:I49)</f>
        <v/>
      </c>
      <c r="J50" s="437" t="n"/>
      <c r="K50" s="408" t="n"/>
      <c r="L50" s="408" t="n"/>
      <c r="M50" s="408" t="n"/>
      <c r="N50" s="408" t="n"/>
    </row>
    <row r="51" ht="15" customHeight="1" s="134">
      <c r="A51" s="438" t="n"/>
      <c r="B51" s="439" t="n"/>
      <c r="C51" s="439" t="n"/>
      <c r="D51" s="439" t="n"/>
      <c r="E51" s="439" t="n"/>
      <c r="F51" s="439" t="n"/>
      <c r="G51" s="439" t="n"/>
      <c r="H51" s="439" t="n"/>
      <c r="I51" s="439" t="n"/>
      <c r="J51" s="438" t="n"/>
      <c r="K51" s="408" t="n"/>
      <c r="L51" s="408" t="n"/>
      <c r="M51" s="408" t="n"/>
      <c r="N51" s="408" t="n"/>
    </row>
    <row r="52">
      <c r="K52" s="408" t="n"/>
      <c r="L52" s="408" t="n"/>
      <c r="M52" s="408" t="n"/>
      <c r="N52" s="408" t="n"/>
    </row>
    <row r="53">
      <c r="A53" s="402" t="inlineStr">
        <is>
          <t>JOURNAL</t>
        </is>
      </c>
      <c r="B53" s="403" t="inlineStr">
        <is>
          <t>Date</t>
        </is>
      </c>
      <c r="C53" s="403" t="inlineStr">
        <is>
          <t>N° pièce</t>
        </is>
      </c>
      <c r="D53" s="404" t="inlineStr">
        <is>
          <t xml:space="preserve">N° COMPTE </t>
        </is>
      </c>
      <c r="E53" s="404" t="inlineStr">
        <is>
          <t>LIBELLE</t>
        </is>
      </c>
      <c r="F53" s="541" t="n"/>
      <c r="G53" s="542" t="n"/>
      <c r="H53" s="404" t="inlineStr">
        <is>
          <t>DEBIT</t>
        </is>
      </c>
      <c r="I53" s="404" t="inlineStr">
        <is>
          <t>CREDIT</t>
        </is>
      </c>
      <c r="J53" s="407" t="inlineStr">
        <is>
          <t>Justification</t>
        </is>
      </c>
      <c r="K53" s="408" t="n"/>
      <c r="L53" s="408" t="n"/>
      <c r="M53" s="408" t="n"/>
      <c r="N53" s="408" t="n"/>
    </row>
    <row r="54" ht="15" customHeight="1" s="134" thickBot="1">
      <c r="A54" s="428" t="n"/>
      <c r="B54" s="100" t="n"/>
      <c r="C54" s="100" t="n"/>
      <c r="D54" s="100" t="n"/>
      <c r="E54" s="100" t="n"/>
      <c r="F54" s="100" t="n"/>
      <c r="G54" s="100" t="n"/>
      <c r="H54" s="100" t="n"/>
      <c r="I54" s="102" t="n"/>
      <c r="J54" s="410" t="n"/>
      <c r="K54" s="408" t="n"/>
      <c r="L54" s="408" t="n"/>
      <c r="M54" s="408" t="n"/>
      <c r="N54" s="408" t="n"/>
    </row>
    <row r="55" ht="15" customHeight="1" s="134" thickBot="1">
      <c r="A55" s="429" t="n"/>
      <c r="B55" s="412" t="n"/>
      <c r="C55" s="412" t="n"/>
      <c r="D55" s="413" t="n"/>
      <c r="E55" s="414">
        <f>IF(ISBLANK(D55),"",IFERROR(LOOKUP(2,1/(LEFT(D55&amp;"",LEN(PCG_numeros))=PCG_numeros),PCG_libelles),"Compte à vérifier"))</f>
        <v/>
      </c>
      <c r="F55" s="100" t="n"/>
      <c r="G55" s="102" t="n"/>
      <c r="H55" s="415" t="n"/>
      <c r="I55" s="415" t="n"/>
      <c r="J55" s="430" t="n"/>
      <c r="K55" s="408" t="n"/>
      <c r="L55" s="408" t="n"/>
      <c r="M55" s="408" t="n"/>
      <c r="N55" s="408" t="n"/>
    </row>
    <row r="56">
      <c r="A56" s="543" t="n"/>
      <c r="B56" s="412" t="n"/>
      <c r="C56" s="412" t="n"/>
      <c r="D56" s="418" t="n"/>
      <c r="E56" s="414">
        <f>IF(ISBLANK(D56),"",IFERROR(LOOKUP(2,1/(LEFT(D56&amp;"",LEN(PCG_numeros))=PCG_numeros),PCG_libelles),"Compte à vérifier"))</f>
        <v/>
      </c>
      <c r="F56" s="100" t="n"/>
      <c r="G56" s="102" t="n"/>
      <c r="H56" s="415" t="n"/>
      <c r="I56" s="415" t="n"/>
      <c r="J56" s="430" t="n"/>
      <c r="K56" s="408" t="n"/>
      <c r="L56" s="408" t="n"/>
      <c r="M56" s="408" t="n"/>
      <c r="N56" s="408" t="n"/>
    </row>
    <row r="57">
      <c r="A57" s="543" t="n"/>
      <c r="B57" s="412" t="n"/>
      <c r="C57" s="412" t="n"/>
      <c r="D57" s="413" t="n"/>
      <c r="E57" s="414">
        <f>IF(ISBLANK(D57),"",IFERROR(LOOKUP(2,1/(LEFT(D57&amp;"",LEN(PCG_numeros))=PCG_numeros),PCG_libelles),"Compte à vérifier"))</f>
        <v/>
      </c>
      <c r="F57" s="100" t="n"/>
      <c r="G57" s="102" t="n"/>
      <c r="H57" s="415" t="n"/>
      <c r="I57" s="415" t="n"/>
      <c r="J57" s="430" t="n"/>
      <c r="K57" s="408" t="n"/>
      <c r="L57" s="408" t="n"/>
      <c r="M57" s="408" t="n"/>
      <c r="N57" s="408" t="n"/>
    </row>
    <row r="58">
      <c r="A58" s="543" t="n"/>
      <c r="B58" s="412" t="n"/>
      <c r="C58" s="412" t="n"/>
      <c r="D58" s="413" t="n"/>
      <c r="E58" s="414">
        <f>IF(ISBLANK(D58),"",IFERROR(LOOKUP(2,1/(LEFT(D58&amp;"",LEN(PCG_numeros))=PCG_numeros),PCG_libelles),"Compte à vérifier"))</f>
        <v/>
      </c>
      <c r="F58" s="100" t="n"/>
      <c r="G58" s="102" t="n"/>
      <c r="H58" s="415" t="n"/>
      <c r="I58" s="415" t="n"/>
      <c r="J58" s="430" t="n"/>
      <c r="K58" s="408" t="n"/>
      <c r="L58" s="408" t="n"/>
      <c r="M58" s="408" t="n"/>
      <c r="N58" s="408" t="n"/>
    </row>
    <row r="59">
      <c r="A59" s="543" t="n"/>
      <c r="B59" s="412" t="n"/>
      <c r="C59" s="412" t="n"/>
      <c r="D59" s="413" t="n"/>
      <c r="E59" s="414">
        <f>IF(ISBLANK(D59),"",IFERROR(LOOKUP(2,1/(LEFT(D59&amp;"",LEN(PCG_numeros))=PCG_numeros),PCG_libelles),"Compte à vérifier"))</f>
        <v/>
      </c>
      <c r="F59" s="100" t="n"/>
      <c r="G59" s="102" t="n"/>
      <c r="H59" s="415" t="n"/>
      <c r="I59" s="415" t="n"/>
      <c r="J59" s="430" t="n"/>
      <c r="K59" s="408" t="n"/>
      <c r="L59" s="408" t="n"/>
      <c r="M59" s="408" t="n"/>
      <c r="N59" s="408" t="n"/>
    </row>
    <row r="60">
      <c r="A60" s="543" t="n"/>
      <c r="B60" s="412" t="n"/>
      <c r="C60" s="412" t="n"/>
      <c r="D60" s="413" t="n"/>
      <c r="E60" s="412">
        <f>IF(ISBLANK(D60),"",IFERROR(LOOKUP(2,1/(LEFT(D60&amp;"",LEN(PCG_numeros))=PCG_numeros),PCG_libelles),"Compte à vérifier"))</f>
        <v/>
      </c>
      <c r="F60" s="100" t="n"/>
      <c r="G60" s="102" t="n"/>
      <c r="H60" s="415" t="n"/>
      <c r="I60" s="415" t="n"/>
      <c r="J60" s="430" t="n"/>
      <c r="K60" s="408" t="n"/>
      <c r="L60" s="408" t="n"/>
      <c r="M60" s="408" t="n"/>
      <c r="N60" s="408" t="n"/>
    </row>
    <row r="61">
      <c r="A61" s="544" t="n"/>
      <c r="B61" s="432" t="n"/>
      <c r="C61" s="432" t="n"/>
      <c r="D61" s="433" t="inlineStr">
        <is>
          <t>TOTAL</t>
        </is>
      </c>
      <c r="E61" s="547" t="n"/>
      <c r="F61" s="547" t="n"/>
      <c r="G61" s="548" t="n"/>
      <c r="H61" s="436">
        <f>SUM(H55:H60)</f>
        <v/>
      </c>
      <c r="I61" s="436">
        <f>SUM(I55:I60)</f>
        <v/>
      </c>
      <c r="J61" s="437" t="n"/>
      <c r="K61" s="408" t="n"/>
      <c r="L61" s="408" t="n"/>
      <c r="M61" s="408" t="n"/>
      <c r="N61" s="408" t="n"/>
    </row>
    <row r="62" ht="15" customHeight="1" s="134">
      <c r="A62" s="438" t="n"/>
      <c r="B62" s="439" t="n"/>
      <c r="C62" s="439" t="n"/>
      <c r="D62" s="439" t="n"/>
      <c r="E62" s="439" t="n"/>
      <c r="F62" s="439" t="n"/>
      <c r="G62" s="439" t="n"/>
      <c r="H62" s="439" t="n"/>
      <c r="I62" s="439" t="n"/>
      <c r="J62" s="438" t="n"/>
      <c r="K62" s="408" t="n"/>
      <c r="L62" s="408" t="n"/>
      <c r="M62" s="408" t="n"/>
      <c r="N62" s="408" t="n"/>
    </row>
    <row r="63">
      <c r="K63" s="408" t="n"/>
      <c r="L63" s="408" t="n"/>
      <c r="M63" s="408" t="n"/>
      <c r="N63" s="408" t="n"/>
    </row>
    <row r="64">
      <c r="A64" s="402" t="inlineStr">
        <is>
          <t>JOURNAL</t>
        </is>
      </c>
      <c r="B64" s="403" t="inlineStr">
        <is>
          <t>Date</t>
        </is>
      </c>
      <c r="C64" s="403" t="inlineStr">
        <is>
          <t>N° pièce</t>
        </is>
      </c>
      <c r="D64" s="404" t="inlineStr">
        <is>
          <t xml:space="preserve">N° COMPTE </t>
        </is>
      </c>
      <c r="E64" s="404" t="inlineStr">
        <is>
          <t>LIBELLE</t>
        </is>
      </c>
      <c r="F64" s="541" t="n"/>
      <c r="G64" s="542" t="n"/>
      <c r="H64" s="404" t="inlineStr">
        <is>
          <t>DEBIT</t>
        </is>
      </c>
      <c r="I64" s="404" t="inlineStr">
        <is>
          <t>CREDIT</t>
        </is>
      </c>
      <c r="J64" s="407" t="inlineStr">
        <is>
          <t>Justification</t>
        </is>
      </c>
      <c r="K64" s="408" t="n"/>
      <c r="L64" s="408" t="n"/>
      <c r="M64" s="408" t="n"/>
      <c r="N64" s="408" t="n"/>
    </row>
    <row r="65" ht="15" customHeight="1" s="134" thickBot="1">
      <c r="A65" s="428" t="n"/>
      <c r="B65" s="100" t="n"/>
      <c r="C65" s="100" t="n"/>
      <c r="D65" s="100" t="n"/>
      <c r="E65" s="100" t="n"/>
      <c r="F65" s="100" t="n"/>
      <c r="G65" s="100" t="n"/>
      <c r="H65" s="100" t="n"/>
      <c r="I65" s="102" t="n"/>
      <c r="J65" s="410" t="n"/>
      <c r="K65" s="408" t="n"/>
      <c r="L65" s="408" t="n"/>
      <c r="M65" s="408" t="n"/>
      <c r="N65" s="408" t="n"/>
    </row>
    <row r="66" ht="15" customHeight="1" s="134" thickBot="1">
      <c r="A66" s="429" t="n"/>
      <c r="B66" s="412" t="n"/>
      <c r="C66" s="412" t="n"/>
      <c r="D66" s="413" t="n"/>
      <c r="E66" s="414">
        <f>IF(ISBLANK(D66),"",IFERROR(LOOKUP(2,1/(LEFT(D66&amp;"",LEN(PCG_numeros))=PCG_numeros),PCG_libelles),"Compte à vérifier"))</f>
        <v/>
      </c>
      <c r="F66" s="100" t="n"/>
      <c r="G66" s="102" t="n"/>
      <c r="H66" s="415" t="n"/>
      <c r="I66" s="415" t="n"/>
      <c r="J66" s="430" t="n"/>
      <c r="K66" s="408" t="n"/>
      <c r="L66" s="408" t="n"/>
      <c r="M66" s="408" t="n"/>
      <c r="N66" s="408" t="n"/>
    </row>
    <row r="67">
      <c r="A67" s="543" t="n"/>
      <c r="B67" s="412" t="n"/>
      <c r="C67" s="412" t="n"/>
      <c r="D67" s="418" t="n"/>
      <c r="E67" s="414">
        <f>IF(ISBLANK(D67),"",IFERROR(LOOKUP(2,1/(LEFT(D67&amp;"",LEN(PCG_numeros))=PCG_numeros),PCG_libelles),"Compte à vérifier"))</f>
        <v/>
      </c>
      <c r="F67" s="100" t="n"/>
      <c r="G67" s="102" t="n"/>
      <c r="H67" s="415" t="n"/>
      <c r="I67" s="415" t="n"/>
      <c r="J67" s="430" t="n"/>
      <c r="K67" s="408" t="n"/>
      <c r="L67" s="408" t="n"/>
      <c r="M67" s="408" t="n"/>
      <c r="N67" s="408" t="n"/>
    </row>
    <row r="68">
      <c r="A68" s="543" t="n"/>
      <c r="B68" s="412" t="n"/>
      <c r="C68" s="412" t="n"/>
      <c r="D68" s="413" t="n"/>
      <c r="E68" s="414">
        <f>IF(ISBLANK(D68),"",IFERROR(LOOKUP(2,1/(LEFT(D68&amp;"",LEN(PCG_numeros))=PCG_numeros),PCG_libelles),"Compte à vérifier"))</f>
        <v/>
      </c>
      <c r="F68" s="100" t="n"/>
      <c r="G68" s="102" t="n"/>
      <c r="H68" s="415" t="n"/>
      <c r="I68" s="415" t="n"/>
      <c r="J68" s="430" t="n"/>
      <c r="K68" s="408" t="n"/>
      <c r="L68" s="408" t="n"/>
      <c r="M68" s="408" t="n"/>
      <c r="N68" s="408" t="n"/>
    </row>
    <row r="69">
      <c r="A69" s="543" t="n"/>
      <c r="B69" s="412" t="n"/>
      <c r="C69" s="412" t="n"/>
      <c r="D69" s="413" t="n"/>
      <c r="E69" s="414">
        <f>IF(ISBLANK(D69),"",IFERROR(LOOKUP(2,1/(LEFT(D69&amp;"",LEN(PCG_numeros))=PCG_numeros),PCG_libelles),"Compte à vérifier"))</f>
        <v/>
      </c>
      <c r="F69" s="100" t="n"/>
      <c r="G69" s="102" t="n"/>
      <c r="H69" s="415" t="n"/>
      <c r="I69" s="415" t="n"/>
      <c r="J69" s="430" t="n"/>
      <c r="K69" s="408" t="n"/>
      <c r="L69" s="408" t="n"/>
      <c r="M69" s="408" t="n"/>
      <c r="N69" s="408" t="n"/>
    </row>
    <row r="70">
      <c r="A70" s="543" t="n"/>
      <c r="B70" s="412" t="n"/>
      <c r="C70" s="412" t="n"/>
      <c r="D70" s="413" t="n"/>
      <c r="E70" s="414">
        <f>IF(ISBLANK(D70),"",IFERROR(LOOKUP(2,1/(LEFT(D70&amp;"",LEN(PCG_numeros))=PCG_numeros),PCG_libelles),"Compte à vérifier"))</f>
        <v/>
      </c>
      <c r="F70" s="100" t="n"/>
      <c r="G70" s="102" t="n"/>
      <c r="H70" s="415" t="n"/>
      <c r="I70" s="415" t="n"/>
      <c r="J70" s="430" t="n"/>
      <c r="K70" s="408" t="n"/>
      <c r="L70" s="408" t="n"/>
      <c r="M70" s="408" t="n"/>
      <c r="N70" s="408" t="n"/>
    </row>
    <row r="71">
      <c r="A71" s="543" t="n"/>
      <c r="B71" s="412" t="n"/>
      <c r="C71" s="412" t="n"/>
      <c r="D71" s="413" t="n"/>
      <c r="E71" s="412">
        <f>IF(ISBLANK(D71),"",IFERROR(LOOKUP(2,1/(LEFT(D71&amp;"",LEN(PCG_numeros))=PCG_numeros),PCG_libelles),"Compte à vérifier"))</f>
        <v/>
      </c>
      <c r="F71" s="100" t="n"/>
      <c r="G71" s="102" t="n"/>
      <c r="H71" s="415" t="n"/>
      <c r="I71" s="415" t="n"/>
      <c r="J71" s="430" t="n"/>
      <c r="K71" s="408" t="n"/>
      <c r="L71" s="408" t="n"/>
      <c r="M71" s="408" t="n"/>
      <c r="N71" s="408" t="n"/>
    </row>
    <row r="72">
      <c r="A72" s="544" t="n"/>
      <c r="B72" s="432" t="n"/>
      <c r="C72" s="432" t="n"/>
      <c r="D72" s="433" t="inlineStr">
        <is>
          <t>TOTAL</t>
        </is>
      </c>
      <c r="E72" s="547" t="n"/>
      <c r="F72" s="547" t="n"/>
      <c r="G72" s="548" t="n"/>
      <c r="H72" s="436">
        <f>SUM(H66:H71)</f>
        <v/>
      </c>
      <c r="I72" s="436">
        <f>SUM(I66:I71)</f>
        <v/>
      </c>
      <c r="J72" s="437" t="n"/>
      <c r="K72" s="408" t="n"/>
      <c r="L72" s="408" t="n"/>
      <c r="M72" s="408" t="n"/>
      <c r="N72" s="408" t="n"/>
    </row>
    <row r="73" ht="15" customHeight="1" s="134">
      <c r="A73" s="438" t="n"/>
      <c r="B73" s="439" t="n"/>
      <c r="C73" s="439" t="n"/>
      <c r="D73" s="439" t="n"/>
      <c r="E73" s="439" t="n"/>
      <c r="F73" s="439" t="n"/>
      <c r="G73" s="439" t="n"/>
      <c r="H73" s="439" t="n"/>
      <c r="I73" s="439" t="n"/>
      <c r="J73" s="438" t="n"/>
      <c r="K73" s="408" t="n"/>
      <c r="L73" s="408" t="n"/>
      <c r="M73" s="408" t="n"/>
      <c r="N73" s="408" t="n"/>
    </row>
    <row r="74">
      <c r="K74" s="408" t="n"/>
      <c r="L74" s="408" t="n"/>
      <c r="M74" s="408" t="n"/>
      <c r="N74" s="408" t="n"/>
    </row>
    <row r="75">
      <c r="A75" s="402" t="inlineStr">
        <is>
          <t>JOURNAL</t>
        </is>
      </c>
      <c r="B75" s="403" t="inlineStr">
        <is>
          <t>Date</t>
        </is>
      </c>
      <c r="C75" s="403" t="inlineStr">
        <is>
          <t>N° pièce</t>
        </is>
      </c>
      <c r="D75" s="404" t="inlineStr">
        <is>
          <t xml:space="preserve">N° COMPTE </t>
        </is>
      </c>
      <c r="E75" s="404" t="inlineStr">
        <is>
          <t>LIBELLE</t>
        </is>
      </c>
      <c r="F75" s="541" t="n"/>
      <c r="G75" s="542" t="n"/>
      <c r="H75" s="404" t="inlineStr">
        <is>
          <t>DEBIT</t>
        </is>
      </c>
      <c r="I75" s="404" t="inlineStr">
        <is>
          <t>CREDIT</t>
        </is>
      </c>
      <c r="J75" s="407" t="inlineStr">
        <is>
          <t>Justification</t>
        </is>
      </c>
      <c r="K75" s="408" t="n"/>
      <c r="L75" s="408" t="n"/>
      <c r="M75" s="408" t="n"/>
      <c r="N75" s="408" t="n"/>
    </row>
    <row r="76">
      <c r="A76" s="440" t="n"/>
      <c r="B76" s="100" t="n"/>
      <c r="C76" s="100" t="n"/>
      <c r="D76" s="100" t="n"/>
      <c r="E76" s="100" t="n"/>
      <c r="F76" s="100" t="n"/>
      <c r="G76" s="100" t="n"/>
      <c r="H76" s="100" t="n"/>
      <c r="I76" s="100" t="n"/>
      <c r="J76" s="410" t="n"/>
      <c r="K76" s="408" t="n"/>
      <c r="L76" s="408" t="n"/>
      <c r="M76" s="408" t="n"/>
      <c r="N76" s="408" t="n"/>
    </row>
    <row r="77" ht="15" customHeight="1" s="134" thickBot="1">
      <c r="A77" s="429" t="inlineStr">
        <is>
          <t>AC</t>
        </is>
      </c>
      <c r="B77" s="441" t="n"/>
      <c r="C77" s="412" t="n"/>
      <c r="D77" s="413" t="n"/>
      <c r="E77" s="414">
        <f>IF(ISBLANK(D77),"",IFERROR(LOOKUP(2,1/(LEFT(D77&amp;"",LEN(PCG_numeros))=PCG_numeros),PCG_libelles),"Compte à vérifier"))</f>
        <v/>
      </c>
      <c r="F77" s="100" t="n"/>
      <c r="G77" s="102" t="n"/>
      <c r="H77" s="415" t="n"/>
      <c r="I77" s="442" t="n"/>
      <c r="J77" s="430" t="n"/>
      <c r="K77" s="408" t="n"/>
      <c r="L77" s="408" t="n"/>
      <c r="M77" s="408" t="n"/>
      <c r="N77" s="408" t="n"/>
    </row>
    <row r="78">
      <c r="A78" s="543" t="n"/>
      <c r="B78" s="443" t="n"/>
      <c r="C78" s="412" t="n"/>
      <c r="D78" s="418" t="n"/>
      <c r="E78" s="414">
        <f>IF(ISBLANK(D78),"",IFERROR(LOOKUP(2,1/(LEFT(D78&amp;"",LEN(PCG_numeros))=PCG_numeros),PCG_libelles),"Compte à vérifier"))</f>
        <v/>
      </c>
      <c r="F78" s="100" t="n"/>
      <c r="G78" s="102" t="n"/>
      <c r="H78" s="415" t="n"/>
      <c r="I78" s="442" t="n"/>
      <c r="J78" s="430" t="n"/>
      <c r="K78" s="408" t="n"/>
      <c r="L78" s="408" t="n"/>
      <c r="M78" s="408" t="n"/>
      <c r="N78" s="408" t="n"/>
    </row>
    <row r="79">
      <c r="A79" s="543" t="n"/>
      <c r="B79" s="443" t="n"/>
      <c r="C79" s="412" t="n"/>
      <c r="D79" s="413" t="n"/>
      <c r="E79" s="414">
        <f>IF(ISBLANK(D79),"",IFERROR(LOOKUP(2,1/(LEFT(D79&amp;"",LEN(PCG_numeros))=PCG_numeros),PCG_libelles),"Compte à vérifier"))</f>
        <v/>
      </c>
      <c r="F79" s="100" t="n"/>
      <c r="G79" s="102" t="n"/>
      <c r="H79" s="415" t="n"/>
      <c r="I79" s="442" t="n"/>
      <c r="J79" s="430" t="n"/>
      <c r="K79" s="408" t="n"/>
      <c r="L79" s="408" t="n"/>
      <c r="M79" s="408" t="n"/>
      <c r="N79" s="408" t="n"/>
    </row>
    <row r="80">
      <c r="A80" s="543" t="n"/>
      <c r="B80" s="443" t="n"/>
      <c r="C80" s="412" t="n"/>
      <c r="D80" s="413" t="n"/>
      <c r="E80" s="414">
        <f>IF(ISBLANK(D80),"",IFERROR(LOOKUP(2,1/(LEFT(D80&amp;"",LEN(PCG_numeros))=PCG_numeros),PCG_libelles),"Compte à vérifier"))</f>
        <v/>
      </c>
      <c r="F80" s="100" t="n"/>
      <c r="G80" s="102" t="n"/>
      <c r="H80" s="415" t="n"/>
      <c r="I80" s="442" t="n"/>
      <c r="J80" s="430" t="n"/>
      <c r="K80" s="408" t="n"/>
      <c r="L80" s="408" t="n"/>
      <c r="M80" s="408" t="n"/>
      <c r="N80" s="408" t="n"/>
    </row>
    <row r="81">
      <c r="A81" s="543" t="n"/>
      <c r="B81" s="443" t="n"/>
      <c r="C81" s="412" t="n"/>
      <c r="D81" s="413" t="n"/>
      <c r="E81" s="414">
        <f>IF(ISBLANK(D81),"",IFERROR(LOOKUP(2,1/(LEFT(D81&amp;"",LEN(PCG_numeros))=PCG_numeros),PCG_libelles),"Compte à vérifier"))</f>
        <v/>
      </c>
      <c r="F81" s="100" t="n"/>
      <c r="G81" s="102" t="n"/>
      <c r="H81" s="415" t="n"/>
      <c r="I81" s="442" t="n"/>
      <c r="J81" s="430" t="n"/>
      <c r="K81" s="408" t="n"/>
      <c r="L81" s="408" t="n"/>
      <c r="M81" s="408" t="n"/>
      <c r="N81" s="408" t="n"/>
    </row>
    <row r="82">
      <c r="A82" s="543" t="n"/>
      <c r="B82" s="443" t="n"/>
      <c r="C82" s="412" t="n"/>
      <c r="D82" s="413" t="n"/>
      <c r="E82" s="412">
        <f>IF(ISBLANK(D82),"",IFERROR(LOOKUP(2,1/(LEFT(D82&amp;"",LEN(PCG_numeros))=PCG_numeros),PCG_libelles),"Compte à vérifier"))</f>
        <v/>
      </c>
      <c r="F82" s="100" t="n"/>
      <c r="G82" s="102" t="n"/>
      <c r="H82" s="415" t="n"/>
      <c r="I82" s="442" t="n"/>
      <c r="J82" s="430" t="n"/>
      <c r="K82" s="408" t="n"/>
      <c r="L82" s="408" t="n"/>
      <c r="M82" s="408" t="n"/>
      <c r="N82" s="408" t="n"/>
    </row>
    <row r="83">
      <c r="A83" s="544" t="n"/>
      <c r="B83" s="444" t="n"/>
      <c r="C83" s="432" t="n"/>
      <c r="D83" s="433" t="inlineStr">
        <is>
          <t>TOTAL</t>
        </is>
      </c>
      <c r="E83" s="547" t="n"/>
      <c r="F83" s="547" t="n"/>
      <c r="G83" s="548" t="n"/>
      <c r="H83" s="436">
        <f>SUM(H77:H82)</f>
        <v/>
      </c>
      <c r="I83" s="436">
        <f>SUM(I77:I82)</f>
        <v/>
      </c>
      <c r="J83" s="437" t="n"/>
      <c r="K83" s="408" t="n"/>
      <c r="L83" s="408" t="n"/>
      <c r="M83" s="408" t="n"/>
      <c r="N83" s="408" t="n"/>
    </row>
    <row r="84" ht="15" customHeight="1" s="134">
      <c r="A84" s="438" t="n"/>
      <c r="B84" s="439" t="n"/>
      <c r="C84" s="439" t="n"/>
      <c r="D84" s="439" t="n"/>
      <c r="E84" s="439" t="n"/>
      <c r="F84" s="439" t="n"/>
      <c r="G84" s="439" t="n"/>
      <c r="H84" s="439" t="n"/>
      <c r="I84" s="439" t="n"/>
      <c r="J84" s="438" t="n"/>
      <c r="K84" s="408" t="n"/>
      <c r="L84" s="408" t="n"/>
      <c r="M84" s="408" t="n"/>
      <c r="N84" s="408" t="n"/>
    </row>
    <row r="85">
      <c r="K85" s="408" t="n"/>
      <c r="L85" s="408" t="n"/>
      <c r="M85" s="408" t="n"/>
      <c r="N85" s="408" t="n"/>
    </row>
    <row r="86">
      <c r="A86" s="402" t="inlineStr">
        <is>
          <t>JOURNAL</t>
        </is>
      </c>
      <c r="B86" s="403" t="inlineStr">
        <is>
          <t>Date</t>
        </is>
      </c>
      <c r="C86" s="403" t="inlineStr">
        <is>
          <t>N° pièce</t>
        </is>
      </c>
      <c r="D86" s="404" t="inlineStr">
        <is>
          <t xml:space="preserve">N° COMPTE </t>
        </is>
      </c>
      <c r="E86" s="404" t="inlineStr">
        <is>
          <t>LIBELLE</t>
        </is>
      </c>
      <c r="F86" s="541" t="n"/>
      <c r="G86" s="542" t="n"/>
      <c r="H86" s="404" t="inlineStr">
        <is>
          <t>DEBIT</t>
        </is>
      </c>
      <c r="I86" s="404" t="inlineStr">
        <is>
          <t>CREDIT</t>
        </is>
      </c>
      <c r="J86" s="407" t="inlineStr">
        <is>
          <t>Justification</t>
        </is>
      </c>
      <c r="K86" s="408" t="n"/>
      <c r="L86" s="408" t="n"/>
      <c r="M86" s="408" t="n"/>
      <c r="N86" s="408" t="n"/>
    </row>
    <row r="87">
      <c r="A87" s="440" t="n"/>
      <c r="B87" s="100" t="n"/>
      <c r="C87" s="100" t="n"/>
      <c r="D87" s="100" t="n"/>
      <c r="E87" s="100" t="n"/>
      <c r="F87" s="100" t="n"/>
      <c r="G87" s="100" t="n"/>
      <c r="H87" s="100" t="n"/>
      <c r="I87" s="100" t="n"/>
      <c r="J87" s="410" t="n"/>
      <c r="K87" s="408" t="n"/>
      <c r="L87" s="408" t="n"/>
      <c r="M87" s="408" t="n"/>
      <c r="N87" s="408" t="n"/>
    </row>
    <row r="88" ht="15" customHeight="1" s="134" thickBot="1">
      <c r="A88" s="429" t="inlineStr">
        <is>
          <t>AC</t>
        </is>
      </c>
      <c r="B88" s="441" t="n"/>
      <c r="C88" s="412" t="n"/>
      <c r="D88" s="413" t="n"/>
      <c r="E88" s="414">
        <f>IF(ISBLANK(D88),"",IFERROR(LOOKUP(2,1/(LEFT(D88&amp;"",LEN(PCG_numeros))=PCG_numeros),PCG_libelles),"Compte à vérifier"))</f>
        <v/>
      </c>
      <c r="F88" s="100" t="n"/>
      <c r="G88" s="102" t="n"/>
      <c r="H88" s="415" t="n"/>
      <c r="I88" s="442" t="n"/>
      <c r="J88" s="430" t="n"/>
      <c r="K88" s="408" t="n"/>
      <c r="L88" s="408" t="n"/>
      <c r="M88" s="408" t="n"/>
      <c r="N88" s="408" t="n"/>
    </row>
    <row r="89">
      <c r="A89" s="543" t="n"/>
      <c r="B89" s="443" t="n"/>
      <c r="C89" s="412" t="n"/>
      <c r="D89" s="418" t="n"/>
      <c r="E89" s="414">
        <f>IF(ISBLANK(D89),"",IFERROR(LOOKUP(2,1/(LEFT(D89&amp;"",LEN(PCG_numeros))=PCG_numeros),PCG_libelles),"Compte à vérifier"))</f>
        <v/>
      </c>
      <c r="F89" s="100" t="n"/>
      <c r="G89" s="102" t="n"/>
      <c r="H89" s="415" t="n"/>
      <c r="I89" s="442" t="n"/>
      <c r="J89" s="430" t="n"/>
      <c r="K89" s="408" t="n"/>
      <c r="L89" s="408" t="n"/>
      <c r="M89" s="408" t="n"/>
      <c r="N89" s="408" t="n"/>
    </row>
    <row r="90">
      <c r="A90" s="543" t="n"/>
      <c r="B90" s="443" t="n"/>
      <c r="C90" s="412" t="n"/>
      <c r="D90" s="413" t="n"/>
      <c r="E90" s="414">
        <f>IF(ISBLANK(D90),"",IFERROR(LOOKUP(2,1/(LEFT(D90&amp;"",LEN(PCG_numeros))=PCG_numeros),PCG_libelles),"Compte à vérifier"))</f>
        <v/>
      </c>
      <c r="F90" s="100" t="n"/>
      <c r="G90" s="102" t="n"/>
      <c r="H90" s="415" t="n"/>
      <c r="I90" s="442" t="n"/>
      <c r="J90" s="430" t="n"/>
      <c r="K90" s="408" t="n"/>
      <c r="L90" s="408" t="n"/>
      <c r="M90" s="408" t="n"/>
      <c r="N90" s="408" t="n"/>
    </row>
    <row r="91">
      <c r="A91" s="543" t="n"/>
      <c r="B91" s="443" t="n"/>
      <c r="C91" s="412" t="n"/>
      <c r="D91" s="413" t="n"/>
      <c r="E91" s="414">
        <f>IF(ISBLANK(D91),"",IFERROR(LOOKUP(2,1/(LEFT(D91&amp;"",LEN(PCG_numeros))=PCG_numeros),PCG_libelles),"Compte à vérifier"))</f>
        <v/>
      </c>
      <c r="F91" s="100" t="n"/>
      <c r="G91" s="102" t="n"/>
      <c r="H91" s="415" t="n"/>
      <c r="I91" s="442" t="n"/>
      <c r="J91" s="430" t="n"/>
      <c r="K91" s="408" t="n"/>
      <c r="L91" s="408" t="n"/>
      <c r="M91" s="408" t="n"/>
      <c r="N91" s="408" t="n"/>
    </row>
    <row r="92">
      <c r="A92" s="543" t="n"/>
      <c r="B92" s="443" t="n"/>
      <c r="C92" s="412" t="n"/>
      <c r="D92" s="413" t="n"/>
      <c r="E92" s="414">
        <f>IF(ISBLANK(D92),"",IFERROR(LOOKUP(2,1/(LEFT(D92&amp;"",LEN(PCG_numeros))=PCG_numeros),PCG_libelles),"Compte à vérifier"))</f>
        <v/>
      </c>
      <c r="F92" s="100" t="n"/>
      <c r="G92" s="102" t="n"/>
      <c r="H92" s="415" t="n"/>
      <c r="I92" s="442" t="n"/>
      <c r="J92" s="430" t="n"/>
      <c r="K92" s="408" t="n"/>
      <c r="L92" s="408" t="n"/>
      <c r="M92" s="408" t="n"/>
      <c r="N92" s="408" t="n"/>
    </row>
    <row r="93">
      <c r="A93" s="543" t="n"/>
      <c r="B93" s="443" t="n"/>
      <c r="C93" s="412" t="n"/>
      <c r="D93" s="413" t="n"/>
      <c r="E93" s="412">
        <f>IF(ISBLANK(D93),"",IFERROR(LOOKUP(2,1/(LEFT(D93&amp;"",LEN(PCG_numeros))=PCG_numeros),PCG_libelles),"Compte à vérifier"))</f>
        <v/>
      </c>
      <c r="F93" s="100" t="n"/>
      <c r="G93" s="102" t="n"/>
      <c r="H93" s="415" t="n"/>
      <c r="I93" s="442" t="n"/>
      <c r="J93" s="430" t="n"/>
      <c r="K93" s="408" t="n"/>
      <c r="L93" s="408" t="n"/>
      <c r="M93" s="408" t="n"/>
      <c r="N93" s="408" t="n"/>
    </row>
    <row r="94">
      <c r="A94" s="544" t="n"/>
      <c r="B94" s="444" t="n"/>
      <c r="C94" s="432" t="n"/>
      <c r="D94" s="433" t="inlineStr">
        <is>
          <t>TOTAL</t>
        </is>
      </c>
      <c r="E94" s="547" t="n"/>
      <c r="F94" s="547" t="n"/>
      <c r="G94" s="548" t="n"/>
      <c r="H94" s="436">
        <f>SUM(H88:H93)</f>
        <v/>
      </c>
      <c r="I94" s="436">
        <f>SUM(I88:I93)</f>
        <v/>
      </c>
      <c r="J94" s="437" t="n"/>
      <c r="K94" s="408" t="n"/>
      <c r="L94" s="408" t="n"/>
      <c r="M94" s="408" t="n"/>
      <c r="N94" s="408" t="n"/>
    </row>
    <row r="95" ht="15" customHeight="1" s="134">
      <c r="A95" s="438" t="n"/>
      <c r="B95" s="439" t="n"/>
      <c r="C95" s="439" t="n"/>
      <c r="D95" s="439" t="n"/>
      <c r="E95" s="439" t="n"/>
      <c r="F95" s="439" t="n"/>
      <c r="G95" s="439" t="n"/>
      <c r="H95" s="439" t="n"/>
      <c r="I95" s="439" t="n"/>
      <c r="J95" s="438" t="n"/>
      <c r="K95" s="408" t="n"/>
      <c r="L95" s="408" t="n"/>
      <c r="M95" s="408" t="n"/>
      <c r="N95" s="408" t="n"/>
    </row>
    <row r="96">
      <c r="K96" s="408" t="n"/>
      <c r="L96" s="408" t="n"/>
      <c r="M96" s="408" t="n"/>
      <c r="N96" s="408" t="n"/>
    </row>
    <row r="97">
      <c r="A97" s="402" t="inlineStr">
        <is>
          <t>JOURNAL</t>
        </is>
      </c>
      <c r="B97" s="403" t="inlineStr">
        <is>
          <t>Date</t>
        </is>
      </c>
      <c r="C97" s="403" t="inlineStr">
        <is>
          <t>N° pièce</t>
        </is>
      </c>
      <c r="D97" s="404" t="inlineStr">
        <is>
          <t xml:space="preserve">N° COMPTE </t>
        </is>
      </c>
      <c r="E97" s="404" t="inlineStr">
        <is>
          <t>LIBELLE</t>
        </is>
      </c>
      <c r="F97" s="541" t="n"/>
      <c r="G97" s="542" t="n"/>
      <c r="H97" s="404" t="inlineStr">
        <is>
          <t>DEBIT</t>
        </is>
      </c>
      <c r="I97" s="404" t="inlineStr">
        <is>
          <t>CREDIT</t>
        </is>
      </c>
      <c r="J97" s="407" t="inlineStr">
        <is>
          <t>Justification</t>
        </is>
      </c>
      <c r="K97" s="408" t="n"/>
      <c r="L97" s="408" t="n"/>
      <c r="M97" s="408" t="n"/>
      <c r="N97" s="408" t="n"/>
    </row>
    <row r="98">
      <c r="A98" s="440" t="n"/>
      <c r="B98" s="100" t="n"/>
      <c r="C98" s="100" t="n"/>
      <c r="D98" s="100" t="n"/>
      <c r="E98" s="100" t="n"/>
      <c r="F98" s="100" t="n"/>
      <c r="G98" s="100" t="n"/>
      <c r="H98" s="100" t="n"/>
      <c r="I98" s="100" t="n"/>
      <c r="J98" s="410" t="n"/>
      <c r="K98" s="408" t="n"/>
      <c r="L98" s="408" t="n"/>
      <c r="M98" s="408" t="n"/>
      <c r="N98" s="408" t="n"/>
    </row>
    <row r="99" ht="15" customHeight="1" s="134" thickBot="1">
      <c r="A99" s="429" t="inlineStr">
        <is>
          <t>AC</t>
        </is>
      </c>
      <c r="B99" s="441" t="n"/>
      <c r="C99" s="412" t="n"/>
      <c r="D99" s="413" t="n"/>
      <c r="E99" s="414">
        <f>IF(ISBLANK(D99),"",IFERROR(LOOKUP(2,1/(LEFT(D99&amp;"",LEN(PCG_numeros))=PCG_numeros),PCG_libelles),"Compte à vérifier"))</f>
        <v/>
      </c>
      <c r="F99" s="100" t="n"/>
      <c r="G99" s="102" t="n"/>
      <c r="H99" s="415" t="n"/>
      <c r="I99" s="442" t="n"/>
      <c r="J99" s="430" t="n"/>
      <c r="K99" s="408" t="n"/>
      <c r="L99" s="408" t="n"/>
      <c r="M99" s="408" t="n"/>
      <c r="N99" s="408" t="n"/>
    </row>
    <row r="100">
      <c r="A100" s="543" t="n"/>
      <c r="B100" s="443" t="n"/>
      <c r="C100" s="412" t="n"/>
      <c r="D100" s="418" t="n"/>
      <c r="E100" s="414">
        <f>IF(ISBLANK(D100),"",IFERROR(LOOKUP(2,1/(LEFT(D100&amp;"",LEN(PCG_numeros))=PCG_numeros),PCG_libelles),"Compte à vérifier"))</f>
        <v/>
      </c>
      <c r="F100" s="100" t="n"/>
      <c r="G100" s="102" t="n"/>
      <c r="H100" s="415" t="n"/>
      <c r="I100" s="442" t="n"/>
      <c r="J100" s="430" t="n"/>
      <c r="K100" s="408" t="n"/>
      <c r="L100" s="408" t="n"/>
      <c r="M100" s="408" t="n"/>
      <c r="N100" s="408" t="n"/>
    </row>
    <row r="101">
      <c r="A101" s="543" t="n"/>
      <c r="B101" s="443" t="n"/>
      <c r="C101" s="412" t="n"/>
      <c r="D101" s="413" t="n"/>
      <c r="E101" s="414">
        <f>IF(ISBLANK(D101),"",IFERROR(LOOKUP(2,1/(LEFT(D101&amp;"",LEN(PCG_numeros))=PCG_numeros),PCG_libelles),"Compte à vérifier"))</f>
        <v/>
      </c>
      <c r="F101" s="100" t="n"/>
      <c r="G101" s="102" t="n"/>
      <c r="H101" s="415" t="n"/>
      <c r="I101" s="442" t="n"/>
      <c r="J101" s="430" t="n"/>
      <c r="K101" s="408" t="n"/>
      <c r="L101" s="408" t="n"/>
      <c r="M101" s="408" t="n"/>
      <c r="N101" s="408" t="n"/>
    </row>
    <row r="102">
      <c r="A102" s="543" t="n"/>
      <c r="B102" s="443" t="n"/>
      <c r="C102" s="412" t="n"/>
      <c r="D102" s="413" t="n"/>
      <c r="E102" s="414">
        <f>IF(ISBLANK(D102),"",IFERROR(LOOKUP(2,1/(LEFT(D102&amp;"",LEN(PCG_numeros))=PCG_numeros),PCG_libelles),"Compte à vérifier"))</f>
        <v/>
      </c>
      <c r="F102" s="100" t="n"/>
      <c r="G102" s="102" t="n"/>
      <c r="H102" s="415" t="n"/>
      <c r="I102" s="442" t="n"/>
      <c r="J102" s="430" t="n"/>
      <c r="K102" s="408" t="n"/>
      <c r="L102" s="408" t="n"/>
      <c r="M102" s="408" t="n"/>
      <c r="N102" s="408" t="n"/>
    </row>
    <row r="103">
      <c r="A103" s="543" t="n"/>
      <c r="B103" s="443" t="n"/>
      <c r="C103" s="412" t="n"/>
      <c r="D103" s="413" t="n"/>
      <c r="E103" s="414">
        <f>IF(ISBLANK(D103),"",IFERROR(LOOKUP(2,1/(LEFT(D103&amp;"",LEN(PCG_numeros))=PCG_numeros),PCG_libelles),"Compte à vérifier"))</f>
        <v/>
      </c>
      <c r="F103" s="100" t="n"/>
      <c r="G103" s="102" t="n"/>
      <c r="H103" s="415" t="n"/>
      <c r="I103" s="442" t="n"/>
      <c r="J103" s="430" t="n"/>
      <c r="K103" s="408" t="n"/>
      <c r="L103" s="408" t="n"/>
      <c r="M103" s="408" t="n"/>
      <c r="N103" s="408" t="n"/>
    </row>
    <row r="104">
      <c r="A104" s="543" t="n"/>
      <c r="B104" s="443" t="n"/>
      <c r="C104" s="412" t="n"/>
      <c r="D104" s="413" t="n"/>
      <c r="E104" s="412">
        <f>IF(ISBLANK(D104),"",IFERROR(LOOKUP(2,1/(LEFT(D104&amp;"",LEN(PCG_numeros))=PCG_numeros),PCG_libelles),"Compte à vérifier"))</f>
        <v/>
      </c>
      <c r="F104" s="100" t="n"/>
      <c r="G104" s="102" t="n"/>
      <c r="H104" s="415" t="n"/>
      <c r="I104" s="442" t="n"/>
      <c r="J104" s="430" t="n"/>
      <c r="K104" s="408" t="n"/>
      <c r="L104" s="408" t="n"/>
      <c r="M104" s="408" t="n"/>
      <c r="N104" s="408" t="n"/>
    </row>
    <row r="105">
      <c r="A105" s="544" t="n"/>
      <c r="B105" s="444" t="n"/>
      <c r="C105" s="432" t="n"/>
      <c r="D105" s="433" t="inlineStr">
        <is>
          <t>TOTAL</t>
        </is>
      </c>
      <c r="E105" s="547" t="n"/>
      <c r="F105" s="547" t="n"/>
      <c r="G105" s="548" t="n"/>
      <c r="H105" s="436">
        <f>SUM(H99:H104)</f>
        <v/>
      </c>
      <c r="I105" s="436">
        <f>SUM(I99:I104)</f>
        <v/>
      </c>
      <c r="J105" s="437" t="n"/>
      <c r="K105" s="408" t="n"/>
      <c r="L105" s="408" t="n"/>
      <c r="M105" s="408" t="n"/>
      <c r="N105" s="408" t="n"/>
    </row>
    <row r="106" ht="15" customHeight="1" s="134">
      <c r="A106" s="438" t="n"/>
      <c r="B106" s="439" t="n"/>
      <c r="C106" s="439" t="n"/>
      <c r="D106" s="439" t="n"/>
      <c r="E106" s="439" t="n"/>
      <c r="F106" s="439" t="n"/>
      <c r="G106" s="439" t="n"/>
      <c r="H106" s="439" t="n"/>
      <c r="I106" s="439" t="n"/>
      <c r="J106" s="438" t="n"/>
      <c r="K106" s="408" t="n"/>
      <c r="L106" s="408" t="n"/>
      <c r="M106" s="408" t="n"/>
      <c r="N106" s="408" t="n"/>
    </row>
    <row r="107">
      <c r="K107" s="408" t="n"/>
      <c r="L107" s="408" t="n"/>
      <c r="M107" s="408" t="n"/>
      <c r="N107" s="408" t="n"/>
    </row>
    <row r="108">
      <c r="A108" s="402" t="inlineStr">
        <is>
          <t>JOURNAL</t>
        </is>
      </c>
      <c r="B108" s="403" t="inlineStr">
        <is>
          <t>Date</t>
        </is>
      </c>
      <c r="C108" s="403" t="inlineStr">
        <is>
          <t>N° pièce</t>
        </is>
      </c>
      <c r="D108" s="404" t="inlineStr">
        <is>
          <t xml:space="preserve">N° COMPTE </t>
        </is>
      </c>
      <c r="E108" s="404" t="inlineStr">
        <is>
          <t>LIBELLE</t>
        </is>
      </c>
      <c r="F108" s="541" t="n"/>
      <c r="G108" s="542" t="n"/>
      <c r="H108" s="404" t="inlineStr">
        <is>
          <t>DEBIT</t>
        </is>
      </c>
      <c r="I108" s="404" t="inlineStr">
        <is>
          <t>CREDIT</t>
        </is>
      </c>
      <c r="J108" s="407" t="inlineStr">
        <is>
          <t>Justification</t>
        </is>
      </c>
      <c r="K108" s="408" t="n"/>
      <c r="L108" s="408" t="n"/>
      <c r="M108" s="408" t="n"/>
      <c r="N108" s="408" t="n"/>
    </row>
    <row r="109">
      <c r="A109" s="440" t="n"/>
      <c r="B109" s="100" t="n"/>
      <c r="C109" s="100" t="n"/>
      <c r="D109" s="100" t="n"/>
      <c r="E109" s="100" t="n"/>
      <c r="F109" s="100" t="n"/>
      <c r="G109" s="100" t="n"/>
      <c r="H109" s="100" t="n"/>
      <c r="I109" s="100" t="n"/>
      <c r="J109" s="410" t="n"/>
      <c r="K109" s="408" t="n"/>
      <c r="L109" s="408" t="n"/>
      <c r="M109" s="408" t="n"/>
      <c r="N109" s="408" t="n"/>
    </row>
    <row r="110" ht="15" customHeight="1" s="134" thickBot="1">
      <c r="A110" s="429" t="inlineStr">
        <is>
          <t>AC</t>
        </is>
      </c>
      <c r="B110" s="441" t="n"/>
      <c r="C110" s="412" t="n"/>
      <c r="D110" s="413" t="n"/>
      <c r="E110" s="414">
        <f>IF(ISBLANK(D110),"",IFERROR(LOOKUP(2,1/(LEFT(D110&amp;"",LEN(PCG_numeros))=PCG_numeros),PCG_libelles),"Compte à vérifier"))</f>
        <v/>
      </c>
      <c r="F110" s="100" t="n"/>
      <c r="G110" s="102" t="n"/>
      <c r="H110" s="415" t="n"/>
      <c r="I110" s="442" t="n"/>
      <c r="J110" s="430" t="n"/>
      <c r="K110" s="408" t="n"/>
      <c r="L110" s="408" t="n"/>
      <c r="M110" s="408" t="n"/>
      <c r="N110" s="408" t="n"/>
    </row>
    <row r="111">
      <c r="A111" s="543" t="n"/>
      <c r="B111" s="443" t="n"/>
      <c r="C111" s="412" t="n"/>
      <c r="D111" s="418" t="n"/>
      <c r="E111" s="414">
        <f>IF(ISBLANK(D111),"",IFERROR(LOOKUP(2,1/(LEFT(D111&amp;"",LEN(PCG_numeros))=PCG_numeros),PCG_libelles),"Compte à vérifier"))</f>
        <v/>
      </c>
      <c r="F111" s="100" t="n"/>
      <c r="G111" s="102" t="n"/>
      <c r="H111" s="415" t="n"/>
      <c r="I111" s="442" t="n"/>
      <c r="J111" s="430" t="n"/>
      <c r="K111" s="408" t="n"/>
      <c r="L111" s="408" t="n"/>
      <c r="M111" s="408" t="n"/>
      <c r="N111" s="408" t="n"/>
    </row>
    <row r="112">
      <c r="A112" s="543" t="n"/>
      <c r="B112" s="443" t="n"/>
      <c r="C112" s="412" t="n"/>
      <c r="D112" s="413" t="n"/>
      <c r="E112" s="414">
        <f>IF(ISBLANK(D112),"",IFERROR(LOOKUP(2,1/(LEFT(D112&amp;"",LEN(PCG_numeros))=PCG_numeros),PCG_libelles),"Compte à vérifier"))</f>
        <v/>
      </c>
      <c r="F112" s="100" t="n"/>
      <c r="G112" s="102" t="n"/>
      <c r="H112" s="415" t="n"/>
      <c r="I112" s="442" t="n"/>
      <c r="J112" s="430" t="n"/>
      <c r="K112" s="408" t="n"/>
      <c r="L112" s="408" t="n"/>
      <c r="M112" s="408" t="n"/>
      <c r="N112" s="408" t="n"/>
    </row>
    <row r="113">
      <c r="A113" s="543" t="n"/>
      <c r="B113" s="443" t="n"/>
      <c r="C113" s="412" t="n"/>
      <c r="D113" s="413" t="n"/>
      <c r="E113" s="414">
        <f>IF(ISBLANK(D113),"",IFERROR(LOOKUP(2,1/(LEFT(D113&amp;"",LEN(PCG_numeros))=PCG_numeros),PCG_libelles),"Compte à vérifier"))</f>
        <v/>
      </c>
      <c r="F113" s="100" t="n"/>
      <c r="G113" s="102" t="n"/>
      <c r="H113" s="415" t="n"/>
      <c r="I113" s="442" t="n"/>
      <c r="J113" s="430" t="n"/>
      <c r="K113" s="408" t="n"/>
      <c r="L113" s="408" t="n"/>
      <c r="M113" s="408" t="n"/>
      <c r="N113" s="408" t="n"/>
    </row>
    <row r="114">
      <c r="A114" s="543" t="n"/>
      <c r="B114" s="443" t="n"/>
      <c r="C114" s="412" t="n"/>
      <c r="D114" s="413" t="n"/>
      <c r="E114" s="414">
        <f>IF(ISBLANK(D114),"",IFERROR(LOOKUP(2,1/(LEFT(D114&amp;"",LEN(PCG_numeros))=PCG_numeros),PCG_libelles),"Compte à vérifier"))</f>
        <v/>
      </c>
      <c r="F114" s="100" t="n"/>
      <c r="G114" s="102" t="n"/>
      <c r="H114" s="415" t="n"/>
      <c r="I114" s="442" t="n"/>
      <c r="J114" s="430" t="n"/>
      <c r="K114" s="408" t="n"/>
      <c r="L114" s="408" t="n"/>
      <c r="M114" s="408" t="n"/>
      <c r="N114" s="408" t="n"/>
    </row>
    <row r="115">
      <c r="A115" s="543" t="n"/>
      <c r="B115" s="443" t="n"/>
      <c r="C115" s="412" t="n"/>
      <c r="D115" s="413" t="n"/>
      <c r="E115" s="412">
        <f>IF(ISBLANK(D115),"",IFERROR(LOOKUP(2,1/(LEFT(D115&amp;"",LEN(PCG_numeros))=PCG_numeros),PCG_libelles),"Compte à vérifier"))</f>
        <v/>
      </c>
      <c r="F115" s="100" t="n"/>
      <c r="G115" s="102" t="n"/>
      <c r="H115" s="415" t="n"/>
      <c r="I115" s="442" t="n"/>
      <c r="J115" s="430" t="n"/>
      <c r="K115" s="408" t="n"/>
      <c r="L115" s="408" t="n"/>
      <c r="M115" s="408" t="n"/>
      <c r="N115" s="408" t="n"/>
    </row>
    <row r="116">
      <c r="A116" s="544" t="n"/>
      <c r="B116" s="444" t="n"/>
      <c r="C116" s="432" t="n"/>
      <c r="D116" s="433" t="inlineStr">
        <is>
          <t>TOTAL</t>
        </is>
      </c>
      <c r="E116" s="547" t="n"/>
      <c r="F116" s="547" t="n"/>
      <c r="G116" s="548" t="n"/>
      <c r="H116" s="436">
        <f>SUM(H110:H115)</f>
        <v/>
      </c>
      <c r="I116" s="436">
        <f>SUM(I110:I115)</f>
        <v/>
      </c>
      <c r="J116" s="437" t="n"/>
      <c r="K116" s="408" t="n"/>
      <c r="L116" s="408" t="n"/>
      <c r="M116" s="408" t="n"/>
      <c r="N116" s="408" t="n"/>
    </row>
    <row r="117" ht="15" customHeight="1" s="134">
      <c r="A117" s="438" t="n"/>
      <c r="B117" s="439" t="n"/>
      <c r="C117" s="439" t="n"/>
      <c r="D117" s="439" t="n"/>
      <c r="E117" s="439" t="n"/>
      <c r="F117" s="439" t="n"/>
      <c r="G117" s="439" t="n"/>
      <c r="H117" s="439" t="n"/>
      <c r="I117" s="439" t="n"/>
      <c r="J117" s="438" t="n"/>
      <c r="K117" s="408" t="n"/>
      <c r="L117" s="408" t="n"/>
      <c r="M117" s="408" t="n"/>
      <c r="N117" s="408" t="n"/>
    </row>
    <row r="118">
      <c r="K118" s="408" t="n"/>
      <c r="L118" s="408" t="n"/>
      <c r="M118" s="408" t="n"/>
      <c r="N118" s="408" t="n"/>
    </row>
    <row r="119">
      <c r="A119" s="402" t="inlineStr">
        <is>
          <t>JOURNAL</t>
        </is>
      </c>
      <c r="B119" s="403" t="inlineStr">
        <is>
          <t>Date</t>
        </is>
      </c>
      <c r="C119" s="403" t="inlineStr">
        <is>
          <t>N° pièce</t>
        </is>
      </c>
      <c r="D119" s="404" t="inlineStr">
        <is>
          <t xml:space="preserve">N° COMPTE </t>
        </is>
      </c>
      <c r="E119" s="404" t="inlineStr">
        <is>
          <t>LIBELLE</t>
        </is>
      </c>
      <c r="F119" s="541" t="n"/>
      <c r="G119" s="542" t="n"/>
      <c r="H119" s="404" t="inlineStr">
        <is>
          <t>DEBIT</t>
        </is>
      </c>
      <c r="I119" s="404" t="inlineStr">
        <is>
          <t>CREDIT</t>
        </is>
      </c>
      <c r="J119" s="407" t="inlineStr">
        <is>
          <t>Justification</t>
        </is>
      </c>
      <c r="K119" s="408" t="n"/>
      <c r="L119" s="408" t="n"/>
      <c r="M119" s="408" t="n"/>
      <c r="N119" s="408" t="n"/>
    </row>
    <row r="120">
      <c r="A120" s="440" t="n"/>
      <c r="B120" s="100" t="n"/>
      <c r="C120" s="100" t="n"/>
      <c r="D120" s="100" t="n"/>
      <c r="E120" s="100" t="n"/>
      <c r="F120" s="100" t="n"/>
      <c r="G120" s="100" t="n"/>
      <c r="H120" s="100" t="n"/>
      <c r="I120" s="100" t="n"/>
      <c r="J120" s="410" t="n"/>
      <c r="K120" s="408" t="n"/>
      <c r="L120" s="408" t="n"/>
      <c r="M120" s="408" t="n"/>
      <c r="N120" s="408" t="n"/>
    </row>
    <row r="121" ht="15" customHeight="1" s="134" thickBot="1">
      <c r="A121" s="429" t="inlineStr">
        <is>
          <t>AC</t>
        </is>
      </c>
      <c r="B121" s="441" t="n"/>
      <c r="C121" s="412" t="n"/>
      <c r="D121" s="413" t="n"/>
      <c r="E121" s="414">
        <f>IF(ISBLANK(D121),"",IFERROR(LOOKUP(2,1/(LEFT(D121&amp;"",LEN(PCG_numeros))=PCG_numeros),PCG_libelles),"Compte à vérifier"))</f>
        <v/>
      </c>
      <c r="F121" s="100" t="n"/>
      <c r="G121" s="102" t="n"/>
      <c r="H121" s="415" t="n"/>
      <c r="I121" s="442" t="n"/>
      <c r="J121" s="430" t="n"/>
      <c r="K121" s="408" t="n"/>
      <c r="L121" s="408" t="n"/>
      <c r="M121" s="408" t="n"/>
      <c r="N121" s="408" t="n"/>
    </row>
    <row r="122">
      <c r="A122" s="543" t="n"/>
      <c r="B122" s="443" t="n"/>
      <c r="C122" s="412" t="n"/>
      <c r="D122" s="418" t="n"/>
      <c r="E122" s="414">
        <f>IF(ISBLANK(D122),"",IFERROR(LOOKUP(2,1/(LEFT(D122&amp;"",LEN(PCG_numeros))=PCG_numeros),PCG_libelles),"Compte à vérifier"))</f>
        <v/>
      </c>
      <c r="F122" s="100" t="n"/>
      <c r="G122" s="102" t="n"/>
      <c r="H122" s="415" t="n"/>
      <c r="I122" s="442" t="n"/>
      <c r="J122" s="430" t="n"/>
      <c r="K122" s="408" t="n"/>
      <c r="L122" s="408" t="n"/>
      <c r="M122" s="408" t="n"/>
      <c r="N122" s="408" t="n"/>
    </row>
    <row r="123">
      <c r="A123" s="543" t="n"/>
      <c r="B123" s="443" t="n"/>
      <c r="C123" s="412" t="n"/>
      <c r="D123" s="413" t="n"/>
      <c r="E123" s="414">
        <f>IF(ISBLANK(D123),"",IFERROR(LOOKUP(2,1/(LEFT(D123&amp;"",LEN(PCG_numeros))=PCG_numeros),PCG_libelles),"Compte à vérifier"))</f>
        <v/>
      </c>
      <c r="F123" s="100" t="n"/>
      <c r="G123" s="102" t="n"/>
      <c r="H123" s="415" t="n"/>
      <c r="I123" s="442" t="n"/>
      <c r="J123" s="430" t="n"/>
      <c r="K123" s="408" t="n"/>
      <c r="L123" s="408" t="n"/>
      <c r="M123" s="408" t="n"/>
      <c r="N123" s="408" t="n"/>
    </row>
    <row r="124">
      <c r="A124" s="543" t="n"/>
      <c r="B124" s="443" t="n"/>
      <c r="C124" s="412" t="n"/>
      <c r="D124" s="413" t="n"/>
      <c r="E124" s="414">
        <f>IF(ISBLANK(D124),"",IFERROR(LOOKUP(2,1/(LEFT(D124&amp;"",LEN(PCG_numeros))=PCG_numeros),PCG_libelles),"Compte à vérifier"))</f>
        <v/>
      </c>
      <c r="F124" s="100" t="n"/>
      <c r="G124" s="102" t="n"/>
      <c r="H124" s="415" t="n"/>
      <c r="I124" s="442" t="n"/>
      <c r="J124" s="430" t="n"/>
      <c r="K124" s="408" t="n"/>
      <c r="L124" s="408" t="n"/>
      <c r="M124" s="408" t="n"/>
      <c r="N124" s="408" t="n"/>
    </row>
    <row r="125">
      <c r="A125" s="543" t="n"/>
      <c r="B125" s="443" t="n"/>
      <c r="C125" s="412" t="n"/>
      <c r="D125" s="413" t="n"/>
      <c r="E125" s="414">
        <f>IF(ISBLANK(D125),"",IFERROR(LOOKUP(2,1/(LEFT(D125&amp;"",LEN(PCG_numeros))=PCG_numeros),PCG_libelles),"Compte à vérifier"))</f>
        <v/>
      </c>
      <c r="F125" s="100" t="n"/>
      <c r="G125" s="102" t="n"/>
      <c r="H125" s="415" t="n"/>
      <c r="I125" s="442" t="n"/>
      <c r="J125" s="430" t="n"/>
      <c r="K125" s="408" t="n"/>
      <c r="L125" s="408" t="n"/>
      <c r="M125" s="408" t="n"/>
      <c r="N125" s="408" t="n"/>
    </row>
    <row r="126">
      <c r="A126" s="543" t="n"/>
      <c r="B126" s="443" t="n"/>
      <c r="C126" s="412" t="n"/>
      <c r="D126" s="413" t="n"/>
      <c r="E126" s="412">
        <f>IF(ISBLANK(D126),"",IFERROR(LOOKUP(2,1/(LEFT(D126&amp;"",LEN(PCG_numeros))=PCG_numeros),PCG_libelles),"Compte à vérifier"))</f>
        <v/>
      </c>
      <c r="F126" s="100" t="n"/>
      <c r="G126" s="102" t="n"/>
      <c r="H126" s="415" t="n"/>
      <c r="I126" s="442" t="n"/>
      <c r="J126" s="430" t="n"/>
      <c r="K126" s="408" t="n"/>
      <c r="L126" s="408" t="n"/>
      <c r="M126" s="408" t="n"/>
      <c r="N126" s="408" t="n"/>
    </row>
    <row r="127">
      <c r="A127" s="544" t="n"/>
      <c r="B127" s="444" t="n"/>
      <c r="C127" s="432" t="n"/>
      <c r="D127" s="433" t="inlineStr">
        <is>
          <t>TOTAL</t>
        </is>
      </c>
      <c r="E127" s="547" t="n"/>
      <c r="F127" s="547" t="n"/>
      <c r="G127" s="548" t="n"/>
      <c r="H127" s="436">
        <f>SUM(H121:H126)</f>
        <v/>
      </c>
      <c r="I127" s="436">
        <f>SUM(I121:I126)</f>
        <v/>
      </c>
      <c r="J127" s="437" t="n"/>
      <c r="K127" s="408" t="n"/>
      <c r="L127" s="408" t="n"/>
      <c r="M127" s="408" t="n"/>
      <c r="N127" s="408" t="n"/>
    </row>
    <row r="128" ht="15" customHeight="1" s="134">
      <c r="A128" s="438" t="n"/>
      <c r="B128" s="439" t="n"/>
      <c r="C128" s="439" t="n"/>
      <c r="D128" s="439" t="n"/>
      <c r="E128" s="439" t="n"/>
      <c r="F128" s="439" t="n"/>
      <c r="G128" s="439" t="n"/>
      <c r="H128" s="439" t="n"/>
      <c r="I128" s="439" t="n"/>
      <c r="J128" s="438" t="n"/>
      <c r="K128" s="408" t="n"/>
      <c r="L128" s="408" t="n"/>
      <c r="M128" s="408" t="n"/>
      <c r="N128" s="408" t="n"/>
    </row>
    <row r="129">
      <c r="K129" s="408" t="n"/>
      <c r="L129" s="408" t="n"/>
      <c r="M129" s="408" t="n"/>
      <c r="N129" s="408" t="n"/>
    </row>
    <row r="130">
      <c r="A130" s="402" t="inlineStr">
        <is>
          <t>JOURNAL</t>
        </is>
      </c>
      <c r="B130" s="403" t="inlineStr">
        <is>
          <t>Date</t>
        </is>
      </c>
      <c r="C130" s="403" t="inlineStr">
        <is>
          <t>N° pièce</t>
        </is>
      </c>
      <c r="D130" s="404" t="inlineStr">
        <is>
          <t xml:space="preserve">N° COMPTE </t>
        </is>
      </c>
      <c r="E130" s="404" t="inlineStr">
        <is>
          <t>LIBELLE</t>
        </is>
      </c>
      <c r="F130" s="541" t="n"/>
      <c r="G130" s="542" t="n"/>
      <c r="H130" s="404" t="inlineStr">
        <is>
          <t>DEBIT</t>
        </is>
      </c>
      <c r="I130" s="404" t="inlineStr">
        <is>
          <t>CREDIT</t>
        </is>
      </c>
      <c r="J130" s="407" t="inlineStr">
        <is>
          <t>Justification</t>
        </is>
      </c>
      <c r="K130" s="408" t="n"/>
      <c r="L130" s="408" t="n"/>
      <c r="M130" s="408" t="n"/>
      <c r="N130" s="408" t="n"/>
    </row>
    <row r="131">
      <c r="A131" s="440" t="n"/>
      <c r="B131" s="100" t="n"/>
      <c r="C131" s="100" t="n"/>
      <c r="D131" s="100" t="n"/>
      <c r="E131" s="100" t="n"/>
      <c r="F131" s="100" t="n"/>
      <c r="G131" s="100" t="n"/>
      <c r="H131" s="100" t="n"/>
      <c r="I131" s="100" t="n"/>
      <c r="J131" s="410" t="n"/>
      <c r="K131" s="408" t="n"/>
      <c r="L131" s="408" t="n"/>
      <c r="M131" s="408" t="n"/>
      <c r="N131" s="408" t="n"/>
    </row>
    <row r="132">
      <c r="A132" s="429" t="inlineStr">
        <is>
          <t>AC</t>
        </is>
      </c>
      <c r="B132" s="441" t="n"/>
      <c r="C132" s="412" t="n"/>
      <c r="D132" s="413" t="n"/>
      <c r="E132" s="414">
        <f>IF(ISBLANK(D132),"",IFERROR(LOOKUP(2,1/(LEFT(D132&amp;"",LEN(PCG_numeros))=PCG_numeros),PCG_libelles),"Compte à vérifier"))</f>
        <v/>
      </c>
      <c r="F132" s="100" t="n"/>
      <c r="G132" s="102" t="n"/>
      <c r="H132" s="415" t="n"/>
      <c r="I132" s="442" t="n"/>
      <c r="J132" s="430" t="n"/>
      <c r="K132" s="408" t="n"/>
      <c r="L132" s="408" t="n"/>
      <c r="M132" s="408" t="n"/>
      <c r="N132" s="408" t="n"/>
    </row>
    <row r="133">
      <c r="A133" s="543" t="n"/>
      <c r="B133" s="443" t="n"/>
      <c r="C133" s="412" t="n"/>
      <c r="D133" s="418" t="n"/>
      <c r="E133" s="414">
        <f>IF(ISBLANK(D133),"",IFERROR(LOOKUP(2,1/(LEFT(D133&amp;"",LEN(PCG_numeros))=PCG_numeros),PCG_libelles),"Compte à vérifier"))</f>
        <v/>
      </c>
      <c r="F133" s="100" t="n"/>
      <c r="G133" s="102" t="n"/>
      <c r="H133" s="415" t="n"/>
      <c r="I133" s="442" t="n"/>
      <c r="J133" s="430" t="n"/>
      <c r="K133" s="408" t="n"/>
      <c r="L133" s="408" t="n"/>
      <c r="M133" s="408" t="n"/>
      <c r="N133" s="408" t="n"/>
    </row>
    <row r="134">
      <c r="A134" s="543" t="n"/>
      <c r="B134" s="443" t="n"/>
      <c r="C134" s="412" t="n"/>
      <c r="D134" s="413" t="n"/>
      <c r="E134" s="414">
        <f>IF(ISBLANK(D134),"",IFERROR(LOOKUP(2,1/(LEFT(D134&amp;"",LEN(PCG_numeros))=PCG_numeros),PCG_libelles),"Compte à vérifier"))</f>
        <v/>
      </c>
      <c r="F134" s="100" t="n"/>
      <c r="G134" s="102" t="n"/>
      <c r="H134" s="415" t="n"/>
      <c r="I134" s="442" t="n"/>
      <c r="J134" s="430" t="n"/>
      <c r="K134" s="408" t="n"/>
      <c r="L134" s="408" t="n"/>
      <c r="M134" s="408" t="n"/>
      <c r="N134" s="408" t="n"/>
    </row>
    <row r="135">
      <c r="A135" s="543" t="n"/>
      <c r="B135" s="443" t="n"/>
      <c r="C135" s="412" t="n"/>
      <c r="D135" s="413" t="n"/>
      <c r="E135" s="414">
        <f>IF(ISBLANK(D135),"",IFERROR(LOOKUP(2,1/(LEFT(D135&amp;"",LEN(PCG_numeros))=PCG_numeros),PCG_libelles),"Compte à vérifier"))</f>
        <v/>
      </c>
      <c r="F135" s="100" t="n"/>
      <c r="G135" s="102" t="n"/>
      <c r="H135" s="415" t="n"/>
      <c r="I135" s="442" t="n"/>
      <c r="J135" s="430" t="n"/>
      <c r="K135" s="408" t="n"/>
      <c r="L135" s="408" t="n"/>
      <c r="M135" s="408" t="n"/>
      <c r="N135" s="408" t="n"/>
    </row>
    <row r="136">
      <c r="A136" s="543" t="n"/>
      <c r="B136" s="443" t="n"/>
      <c r="C136" s="412" t="n"/>
      <c r="D136" s="413" t="n"/>
      <c r="E136" s="414">
        <f>IF(ISBLANK(D136),"",IFERROR(LOOKUP(2,1/(LEFT(D136&amp;"",LEN(PCG_numeros))=PCG_numeros),PCG_libelles),"Compte à vérifier"))</f>
        <v/>
      </c>
      <c r="F136" s="100" t="n"/>
      <c r="G136" s="102" t="n"/>
      <c r="H136" s="415" t="n"/>
      <c r="I136" s="442" t="n"/>
      <c r="J136" s="430" t="n"/>
      <c r="K136" s="408" t="n"/>
      <c r="L136" s="408" t="n"/>
      <c r="M136" s="408" t="n"/>
      <c r="N136" s="408" t="n"/>
    </row>
    <row r="137">
      <c r="A137" s="543" t="n"/>
      <c r="B137" s="443" t="n"/>
      <c r="C137" s="412" t="n"/>
      <c r="D137" s="413" t="n"/>
      <c r="E137" s="412">
        <f>IF(ISBLANK(D137),"",IFERROR(LOOKUP(2,1/(LEFT(D137&amp;"",LEN(PCG_numeros))=PCG_numeros),PCG_libelles),"Compte à vérifier"))</f>
        <v/>
      </c>
      <c r="F137" s="100" t="n"/>
      <c r="G137" s="102" t="n"/>
      <c r="H137" s="415" t="n"/>
      <c r="I137" s="442" t="n"/>
      <c r="J137" s="430" t="n"/>
      <c r="K137" s="408" t="n"/>
      <c r="L137" s="408" t="n"/>
      <c r="M137" s="408" t="n"/>
      <c r="N137" s="408" t="n"/>
    </row>
    <row r="138">
      <c r="A138" s="544" t="n"/>
      <c r="B138" s="444" t="n"/>
      <c r="C138" s="432" t="n"/>
      <c r="D138" s="433" t="inlineStr">
        <is>
          <t>TOTAL</t>
        </is>
      </c>
      <c r="E138" s="547" t="n"/>
      <c r="F138" s="547" t="n"/>
      <c r="G138" s="548" t="n"/>
      <c r="H138" s="436">
        <f>SUM(H132:H137)</f>
        <v/>
      </c>
      <c r="I138" s="436">
        <f>SUM(I132:I137)</f>
        <v/>
      </c>
      <c r="J138" s="437" t="n"/>
      <c r="K138" s="408" t="n"/>
      <c r="L138" s="408" t="n"/>
      <c r="M138" s="408" t="n"/>
      <c r="N138" s="408" t="n"/>
    </row>
    <row r="139" ht="15" customHeight="1" s="134">
      <c r="A139" s="438" t="n"/>
      <c r="B139" s="439" t="n"/>
      <c r="C139" s="439" t="n"/>
      <c r="D139" s="439" t="n"/>
      <c r="E139" s="439" t="n"/>
      <c r="F139" s="439" t="n"/>
      <c r="G139" s="439" t="n"/>
      <c r="H139" s="439" t="n"/>
      <c r="I139" s="439" t="n"/>
      <c r="J139" s="438" t="n"/>
      <c r="K139" s="408" t="n"/>
      <c r="L139" s="408" t="n"/>
      <c r="M139" s="408" t="n"/>
      <c r="N139" s="408" t="n"/>
    </row>
  </sheetData>
  <mergeCells count="129">
    <mergeCell ref="E13:G13"/>
    <mergeCell ref="E31:G31"/>
    <mergeCell ref="E15:G15"/>
    <mergeCell ref="E108:G108"/>
    <mergeCell ref="E89:G89"/>
    <mergeCell ref="E104:G104"/>
    <mergeCell ref="A2:I2"/>
    <mergeCell ref="E26:G26"/>
    <mergeCell ref="E57:G57"/>
    <mergeCell ref="E124:G124"/>
    <mergeCell ref="A109:I109"/>
    <mergeCell ref="E16:G16"/>
    <mergeCell ref="E81:G81"/>
    <mergeCell ref="D6:G6"/>
    <mergeCell ref="E58:G58"/>
    <mergeCell ref="E121:G121"/>
    <mergeCell ref="E42:G42"/>
    <mergeCell ref="E126:G126"/>
    <mergeCell ref="E123:G123"/>
    <mergeCell ref="E135:G135"/>
    <mergeCell ref="D72:G72"/>
    <mergeCell ref="E92:G92"/>
    <mergeCell ref="E35:G35"/>
    <mergeCell ref="E44:G44"/>
    <mergeCell ref="A87:I87"/>
    <mergeCell ref="E20:G20"/>
    <mergeCell ref="D127:G127"/>
    <mergeCell ref="E60:G60"/>
    <mergeCell ref="E69:G69"/>
    <mergeCell ref="A55:A61"/>
    <mergeCell ref="E78:G78"/>
    <mergeCell ref="E114:G114"/>
    <mergeCell ref="E59:G59"/>
    <mergeCell ref="D7:I7"/>
    <mergeCell ref="E77:G77"/>
    <mergeCell ref="E133:G133"/>
    <mergeCell ref="E46:G46"/>
    <mergeCell ref="E86:G86"/>
    <mergeCell ref="E80:G80"/>
    <mergeCell ref="D50:G50"/>
    <mergeCell ref="A76:I76"/>
    <mergeCell ref="D138:G138"/>
    <mergeCell ref="E70:G70"/>
    <mergeCell ref="A131:I131"/>
    <mergeCell ref="A44:A50"/>
    <mergeCell ref="E125:G125"/>
    <mergeCell ref="E134:G134"/>
    <mergeCell ref="E97:G97"/>
    <mergeCell ref="E112:G112"/>
    <mergeCell ref="A10:I10"/>
    <mergeCell ref="E38:G38"/>
    <mergeCell ref="E47:G47"/>
    <mergeCell ref="E56:G56"/>
    <mergeCell ref="A88:A94"/>
    <mergeCell ref="E71:G71"/>
    <mergeCell ref="E111:G111"/>
    <mergeCell ref="E24:G24"/>
    <mergeCell ref="D61:G61"/>
    <mergeCell ref="E33:G33"/>
    <mergeCell ref="E79:G79"/>
    <mergeCell ref="E88:G88"/>
    <mergeCell ref="E82:G82"/>
    <mergeCell ref="A7:C7"/>
    <mergeCell ref="E1:G1"/>
    <mergeCell ref="A65:I65"/>
    <mergeCell ref="E137:G137"/>
    <mergeCell ref="D39:G39"/>
    <mergeCell ref="A99:A105"/>
    <mergeCell ref="E34:G34"/>
    <mergeCell ref="E9:G9"/>
    <mergeCell ref="A120:I120"/>
    <mergeCell ref="A21:I21"/>
    <mergeCell ref="A22:A28"/>
    <mergeCell ref="E36:G36"/>
    <mergeCell ref="E11:G11"/>
    <mergeCell ref="E45:G45"/>
    <mergeCell ref="A32:I32"/>
    <mergeCell ref="A33:A39"/>
    <mergeCell ref="A3:A6"/>
    <mergeCell ref="E113:G113"/>
    <mergeCell ref="A77:A83"/>
    <mergeCell ref="E100:G100"/>
    <mergeCell ref="E136:G136"/>
    <mergeCell ref="A43:I43"/>
    <mergeCell ref="E115:G115"/>
    <mergeCell ref="E22:G22"/>
    <mergeCell ref="D105:G105"/>
    <mergeCell ref="E37:G37"/>
    <mergeCell ref="E102:G102"/>
    <mergeCell ref="E12:G12"/>
    <mergeCell ref="E122:G122"/>
    <mergeCell ref="A110:A116"/>
    <mergeCell ref="D116:G116"/>
    <mergeCell ref="D17:G17"/>
    <mergeCell ref="E14:G14"/>
    <mergeCell ref="E23:G23"/>
    <mergeCell ref="E4:G4"/>
    <mergeCell ref="E64:G64"/>
    <mergeCell ref="D28:G28"/>
    <mergeCell ref="D83:G83"/>
    <mergeCell ref="E90:G90"/>
    <mergeCell ref="E99:G99"/>
    <mergeCell ref="D94:G94"/>
    <mergeCell ref="E49:G49"/>
    <mergeCell ref="E27:G27"/>
    <mergeCell ref="E110:G110"/>
    <mergeCell ref="E119:G119"/>
    <mergeCell ref="E101:G101"/>
    <mergeCell ref="A121:A127"/>
    <mergeCell ref="E91:G91"/>
    <mergeCell ref="E25:G25"/>
    <mergeCell ref="E66:G66"/>
    <mergeCell ref="E75:G75"/>
    <mergeCell ref="A132:A138"/>
    <mergeCell ref="E53:G53"/>
    <mergeCell ref="E93:G93"/>
    <mergeCell ref="E3:G3"/>
    <mergeCell ref="E130:G130"/>
    <mergeCell ref="E68:G68"/>
    <mergeCell ref="A11:A17"/>
    <mergeCell ref="E55:G55"/>
    <mergeCell ref="A98:I98"/>
    <mergeCell ref="E67:G67"/>
    <mergeCell ref="A66:A72"/>
    <mergeCell ref="E5:G5"/>
    <mergeCell ref="E132:G132"/>
    <mergeCell ref="E48:G48"/>
    <mergeCell ref="A54:I54"/>
    <mergeCell ref="E103:G103"/>
  </mergeCells>
  <pageMargins left="0.7" right="0.7" top="0.75" bottom="0.75" header="0.3" footer="0.3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0ACFCF"/>
    <outlinePr summaryBelow="1" summaryRight="1"/>
    <pageSetUpPr fitToPage="1"/>
  </sheetPr>
  <dimension ref="B1:D15"/>
  <sheetViews>
    <sheetView showGridLines="0" workbookViewId="0">
      <selection activeCell="A1" sqref="A1"/>
    </sheetView>
  </sheetViews>
  <sheetFormatPr baseColWidth="8" defaultRowHeight="15"/>
  <cols>
    <col width="2" customWidth="1" style="134" min="1" max="1"/>
    <col width="34" customWidth="1" style="134" min="2" max="2"/>
    <col width="60" customWidth="1" style="134" min="3" max="3"/>
    <col width="95" customWidth="1" style="134" min="4" max="4"/>
  </cols>
  <sheetData>
    <row r="1" ht="38" customHeight="1" s="134">
      <c r="B1" s="445" t="inlineStr">
        <is>
          <t>Journaux : mode d'emploi</t>
        </is>
      </c>
    </row>
    <row r="2" ht="24" customHeight="1" s="134">
      <c r="B2" s="447" t="inlineStr">
        <is>
          <t>Comment ça marche : les formules</t>
        </is>
      </c>
    </row>
    <row r="3" ht="22" customHeight="1" s="134">
      <c r="B3" s="449" t="inlineStr">
        <is>
          <t>Cellule(s)</t>
        </is>
      </c>
      <c r="C3" s="450" t="inlineStr">
        <is>
          <t>Formule (Excel en français)</t>
        </is>
      </c>
      <c r="D3" s="451" t="inlineStr">
        <is>
          <t>Ce qu'elle fait</t>
        </is>
      </c>
    </row>
    <row r="4" ht="70" customHeight="1" s="134">
      <c r="B4" s="452" t="inlineStr">
        <is>
          <t>Colonne E (libellé), toutes les écritures</t>
        </is>
      </c>
      <c r="C4" s="453" t="inlineStr">
        <is>
          <t>=SI(ESTVIDE(D3);"";SIERREUR(RECHERCHE(2;1/(GAUCHE(D3&amp;"";NBCAR(numéros))=numéros);libellés);"Compte à vérifier"))</t>
        </is>
      </c>
      <c r="D4" s="454" t="inlineStr">
        <is>
          <t>Affiche tout seul l'intitulé du compte dès que vous tapez le numéro en colonne D. La cellule retrouve le compte le plus précis du plan comptable 2026 : 512 ou 512000 donnent Banques, 707000 donne Ventes de marchandises. Si aucun compte ne correspond, elle affiche « Compte à vérifier ».</t>
        </is>
      </c>
    </row>
    <row r="5" ht="40" customHeight="1" s="134">
      <c r="B5" s="455" t="inlineStr">
        <is>
          <t>Colonnes H et I, ligne TOTAL de chaque bloc</t>
        </is>
      </c>
      <c r="C5" s="456" t="inlineStr">
        <is>
          <t>=SOMME(H3:H8)  et  =SOMME(I3:I8)</t>
        </is>
      </c>
      <c r="D5" s="457" t="inlineStr">
        <is>
          <t>Additionne les débits (colonne H) et les crédits (colonne I) du bloc. Les deux totaux doivent être égaux : c'est le contrôle de l'écriture.</t>
        </is>
      </c>
    </row>
    <row r="6" ht="70" customHeight="1" s="134">
      <c r="B6" s="452" t="inlineStr">
        <is>
          <t>Colonnes B, C, D, H, I, J (cellules blanches)</t>
        </is>
      </c>
      <c r="C6" s="453" t="inlineStr">
        <is>
          <t>Pas de formule</t>
        </is>
      </c>
      <c r="D6" s="454" t="inlineStr">
        <is>
          <t>À saisir : date, n° de pièce, n° de compte, montant au débit, montant au crédit. Colonne Justification : le calcul ou la pièce qui explique le montant (ex. 1 000 × 20 %). Le bloc d'exemple montre, sous le total, une ligne facultative « Libellé de l'opération » : à vous d'en insérer une si vous en avez besoin. Le nom du compte, lui, s'affiche tout seul.</t>
        </is>
      </c>
    </row>
    <row r="7" ht="55" customHeight="1" s="134">
      <c r="B7" s="455" t="inlineStr">
        <is>
          <t>Colonne A (journal)</t>
        </is>
      </c>
      <c r="C7" s="456" t="inlineStr">
        <is>
          <t>Pas de formule</t>
        </is>
      </c>
      <c r="D7" s="457" t="inlineStr">
        <is>
          <t>Indiquez le code du journal : AC pour un achat, VE pour une vente, OD pour une opération diverse. Le premier bloc, à 3 lignes (607 / 445 66 / 401), est un exemple d'achat ; les blocs suivants, plus longs, servent aux écritures à plusieurs lignes.</t>
        </is>
      </c>
    </row>
    <row r="8" ht="55" customHeight="1" s="134">
      <c r="B8" s="458" t="inlineStr">
        <is>
          <t>Un bloc = un journal</t>
        </is>
      </c>
      <c r="C8" s="459" t="inlineStr">
        <is>
          <t>Copier-coller</t>
        </is>
      </c>
      <c r="D8" s="460" t="inlineStr">
        <is>
          <t>Les blocs sont indépendants et identiques : pour passer une autre écriture, copiez un bloc entier (de la ligne JOURNAL à la ligne TOTAL) et collez-le plus bas. Les formules suivent le bloc copié. Vous pouvez aussi copier le bloc d'exemple à 3 lignes.</t>
        </is>
      </c>
    </row>
    <row r="10" ht="24" customHeight="1" s="134">
      <c r="B10" s="447" t="inlineStr">
        <is>
          <t>Utiliser les journaux</t>
        </is>
      </c>
    </row>
    <row r="11" ht="25" customHeight="1" s="134">
      <c r="B11" s="461" t="inlineStr">
        <is>
          <t>1.  Chaque bloc est un journal : copiez-le (de la ligne JOURNAL à la ligne TOTAL) et collez-le plus bas pour passer une autre écriture. Les formules suivent.</t>
        </is>
      </c>
      <c r="C11" s="534" t="n"/>
      <c r="D11" s="535" t="n"/>
    </row>
    <row r="12" ht="25" customHeight="1" s="134">
      <c r="B12" s="464" t="inlineStr">
        <is>
          <t>2.  Remplissez-le comme vous voulez : code journal (AC, VE ou OD), date, n° de pièce, compte, débit, crédit, justification.</t>
        </is>
      </c>
      <c r="C12" s="539" t="n"/>
      <c r="D12" s="536" t="n"/>
    </row>
    <row r="13" ht="40" customHeight="1" s="134">
      <c r="B13" s="467" t="inlineStr">
        <is>
          <t>3.  Pour ajouter une ligne : clic droit sur un numéro de ligne situé entre deux lignes d'écriture, « Insérer », puis recopiez les formules de la ligne du dessus (libellé en colonne E). Le total s'adapte. Pour en supprimer une : clic droit, « Supprimer ».</t>
        </is>
      </c>
      <c r="C13" s="539" t="n"/>
      <c r="D13" s="536" t="n"/>
    </row>
    <row r="14" ht="25" customHeight="1" s="134">
      <c r="B14" s="464" t="inlineStr">
        <is>
          <t>4.  Le libellé de l'opération est facultatif : insérez une ligne sous le total, comme dans l'exemple du haut.</t>
        </is>
      </c>
      <c r="C14" s="539" t="n"/>
      <c r="D14" s="536" t="n"/>
    </row>
    <row r="15" ht="25" customHeight="1" s="134">
      <c r="B15" s="470" t="inlineStr">
        <is>
          <t>5.  Le premier bloc, à 3 lignes, est un exemple d'achat : gardez-le comme modèle ou effacez-le.</t>
        </is>
      </c>
      <c r="C15" s="537" t="n"/>
      <c r="D15" s="538" t="n"/>
    </row>
  </sheetData>
  <mergeCells count="8">
    <mergeCell ref="B10:D10"/>
    <mergeCell ref="B11:D11"/>
    <mergeCell ref="B14:D14"/>
    <mergeCell ref="B15:D15"/>
    <mergeCell ref="B1:D1"/>
    <mergeCell ref="B13:D13"/>
    <mergeCell ref="B12:D12"/>
    <mergeCell ref="B2:D2"/>
  </mergeCell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 codeName="Feuil16">
    <tabColor rgb="000ACFCF"/>
    <outlinePr summaryBelow="1" summaryRight="1"/>
    <pageSetUpPr fitToPage="1"/>
  </sheetPr>
  <dimension ref="A1:O61"/>
  <sheetViews>
    <sheetView topLeftCell="A10" zoomScale="80" zoomScaleNormal="80" workbookViewId="0">
      <selection activeCell="H17" sqref="H17"/>
    </sheetView>
  </sheetViews>
  <sheetFormatPr baseColWidth="10" defaultRowHeight="14.5"/>
  <cols>
    <col width="16" customWidth="1" style="134" min="1" max="1"/>
    <col width="44" customWidth="1" style="134" min="2" max="2"/>
    <col width="14" customWidth="1" style="134" min="3" max="3"/>
    <col width="18" customWidth="1" style="134" min="4" max="4"/>
    <col width="18" customWidth="1" style="134" min="5" max="5"/>
    <col width="18" customWidth="1" style="134" min="6" max="6"/>
    <col width="30" customWidth="1" style="134" min="7" max="7"/>
    <col width="20" customWidth="1" style="134" min="8" max="8"/>
    <col width="3" customWidth="1" style="134" min="9" max="9"/>
    <col width="20" customWidth="1" style="134" min="10" max="10"/>
    <col width="20" customWidth="1" style="134" min="11" max="11"/>
    <col width="20" bestFit="1" customWidth="1" style="134" min="12" max="13"/>
    <col width="20" customWidth="1" style="134" min="13" max="13"/>
    <col width="13" customWidth="1" style="134" min="14" max="14"/>
    <col width="13" customWidth="1" style="134" min="15" max="15"/>
  </cols>
  <sheetData>
    <row r="1" ht="30" customHeight="1" s="134" thickBot="1">
      <c r="A1" s="473" t="inlineStr">
        <is>
          <t>N°de compte</t>
        </is>
      </c>
      <c r="B1" s="474" t="inlineStr">
        <is>
          <t xml:space="preserve">Intitulé du compte </t>
        </is>
      </c>
      <c r="C1" s="474" t="n"/>
      <c r="D1" s="474" t="inlineStr">
        <is>
          <t>Hors taxe</t>
        </is>
      </c>
      <c r="E1" s="474" t="inlineStr">
        <is>
          <t>TVA</t>
        </is>
      </c>
      <c r="F1" s="475" t="inlineStr">
        <is>
          <t>TVA arrondi</t>
        </is>
      </c>
      <c r="J1" s="476" t="inlineStr">
        <is>
          <t>A Montant des opérations réalisées</t>
        </is>
      </c>
      <c r="K1" s="534" t="n"/>
      <c r="L1" s="534" t="n"/>
      <c r="M1" s="535" t="n"/>
      <c r="N1" s="439" t="n"/>
      <c r="O1" s="439" t="n"/>
    </row>
    <row r="2" ht="24" customHeight="1" s="134" thickBot="1">
      <c r="A2" s="479" t="inlineStr">
        <is>
          <t>TVA collectée</t>
        </is>
      </c>
      <c r="B2" s="539" t="n"/>
      <c r="C2" s="539" t="n"/>
      <c r="D2" s="539" t="n"/>
      <c r="E2" s="539" t="n"/>
      <c r="F2" s="536" t="n"/>
      <c r="I2" s="482" t="n"/>
      <c r="J2" s="479" t="inlineStr">
        <is>
          <t>Opération taxées HT</t>
        </is>
      </c>
      <c r="K2" s="539" t="n"/>
      <c r="L2" s="536" t="n"/>
      <c r="M2" s="483" t="n"/>
      <c r="N2" s="439" t="n"/>
      <c r="O2" s="439" t="n"/>
    </row>
    <row r="3" ht="24" customHeight="1" s="134">
      <c r="A3" s="484" t="n">
        <v>707000</v>
      </c>
      <c r="B3" s="485" t="inlineStr">
        <is>
          <t>Ventes de marchandises-France       20%</t>
        </is>
      </c>
      <c r="C3" s="485" t="n"/>
      <c r="D3" s="486" t="n"/>
      <c r="E3" s="487">
        <f>D3*20%</f>
        <v/>
      </c>
      <c r="F3" s="488">
        <f>E3</f>
        <v/>
      </c>
      <c r="I3" s="1" t="n"/>
      <c r="J3" s="489" t="inlineStr">
        <is>
          <t>A1 ventes,presta service</t>
        </is>
      </c>
      <c r="K3" s="539" t="n"/>
      <c r="L3" s="536" t="n"/>
      <c r="M3" s="490">
        <f>D6</f>
        <v/>
      </c>
      <c r="N3" s="491" t="n"/>
      <c r="O3" s="492" t="n"/>
    </row>
    <row r="4" ht="24" customHeight="1" s="134" thickBot="1">
      <c r="A4" s="493" t="n"/>
      <c r="B4" s="485" t="inlineStr">
        <is>
          <t>Ventes de marchandises-France       10%</t>
        </is>
      </c>
      <c r="C4" s="494" t="n">
        <v>0.1</v>
      </c>
      <c r="D4" s="487" t="n"/>
      <c r="E4" s="487">
        <f>D4*10%</f>
        <v/>
      </c>
      <c r="F4" s="488">
        <f>E4</f>
        <v/>
      </c>
      <c r="I4" s="1" t="n"/>
      <c r="J4" s="489" t="inlineStr">
        <is>
          <t>B2 Acquisitions intracom</t>
        </is>
      </c>
      <c r="K4" s="539" t="n"/>
      <c r="L4" s="536" t="n"/>
      <c r="M4" s="490">
        <f>D14</f>
        <v/>
      </c>
      <c r="N4" s="439" t="n"/>
      <c r="O4" s="439" t="n"/>
    </row>
    <row r="5" ht="24" customHeight="1" s="134" thickBot="1">
      <c r="A5" s="493" t="n"/>
      <c r="B5" s="485" t="inlineStr">
        <is>
          <t>Ventes de marchandises-France       5,5%</t>
        </is>
      </c>
      <c r="C5" s="495" t="n">
        <v>0.055</v>
      </c>
      <c r="D5" s="487" t="n"/>
      <c r="E5" s="487">
        <f>D5*5.5%</f>
        <v/>
      </c>
      <c r="F5" s="488">
        <f>E5</f>
        <v/>
      </c>
      <c r="I5" s="1" t="n"/>
      <c r="J5" s="493" t="n"/>
      <c r="K5" s="485" t="n"/>
      <c r="L5" s="485" t="n"/>
      <c r="M5" s="488" t="n"/>
      <c r="N5" s="439" t="n"/>
      <c r="O5" s="439" t="n"/>
    </row>
    <row r="6" ht="24" customHeight="1" s="134" thickBot="1">
      <c r="A6" s="496" t="inlineStr">
        <is>
          <t xml:space="preserve"> (A1) Vente,  prestations de services</t>
        </is>
      </c>
      <c r="B6" s="539" t="n"/>
      <c r="C6" s="536" t="n"/>
      <c r="D6" s="497">
        <f>SUM(D3:D5)</f>
        <v/>
      </c>
      <c r="E6" s="487">
        <f>SUM(E3:E5)</f>
        <v/>
      </c>
      <c r="F6" s="488">
        <f>E6</f>
        <v/>
      </c>
      <c r="I6" s="1" t="n"/>
      <c r="J6" s="498" t="inlineStr">
        <is>
          <t>Opération non taxée TTC</t>
        </is>
      </c>
      <c r="K6" s="539" t="n"/>
      <c r="L6" s="536" t="n"/>
      <c r="M6" s="499" t="n"/>
      <c r="N6" s="439" t="n"/>
      <c r="O6" s="439" t="n"/>
    </row>
    <row r="7" ht="24" customHeight="1" s="134" thickBot="1">
      <c r="A7" s="493" t="n"/>
      <c r="B7" s="485" t="inlineStr">
        <is>
          <t>Vente de marchandises UE 20%</t>
        </is>
      </c>
      <c r="C7" s="485" t="n"/>
      <c r="D7" s="486" t="n"/>
      <c r="E7" s="487" t="n"/>
      <c r="F7" s="488" t="n"/>
      <c r="I7" s="1" t="n"/>
      <c r="J7" s="500" t="inlineStr">
        <is>
          <t>E1 Exportation Hors UE</t>
        </is>
      </c>
      <c r="K7" s="501" t="n"/>
      <c r="L7" s="501" t="n"/>
      <c r="M7" s="499">
        <f>D10</f>
        <v/>
      </c>
      <c r="N7" s="439" t="n"/>
      <c r="O7" s="439" t="n"/>
    </row>
    <row r="8" ht="24" customHeight="1" s="134" thickBot="1">
      <c r="A8" s="496" t="inlineStr">
        <is>
          <t>(F2) Livraisons intracom</t>
        </is>
      </c>
      <c r="B8" s="539" t="n"/>
      <c r="C8" s="536" t="n"/>
      <c r="D8" s="502">
        <f>D7</f>
        <v/>
      </c>
      <c r="E8" s="487" t="n"/>
      <c r="F8" s="488" t="n"/>
      <c r="I8" s="1" t="n"/>
      <c r="J8" s="489" t="inlineStr">
        <is>
          <t>F2 Livraisons intracom</t>
        </is>
      </c>
      <c r="K8" s="539" t="n"/>
      <c r="L8" s="536" t="n"/>
      <c r="M8" s="499">
        <f>D8</f>
        <v/>
      </c>
      <c r="N8" s="439" t="n"/>
      <c r="O8" s="439" t="n"/>
    </row>
    <row r="9" ht="24" customHeight="1" s="134">
      <c r="A9" s="503" t="n"/>
      <c r="B9" s="504" t="inlineStr">
        <is>
          <t>Vente marchandises export 20%</t>
        </is>
      </c>
      <c r="C9" s="536" t="n"/>
      <c r="D9" s="486" t="n"/>
      <c r="E9" s="487" t="n"/>
      <c r="F9" s="488" t="n"/>
      <c r="I9" s="1" t="n"/>
      <c r="J9" s="489" t="n"/>
      <c r="K9" s="505" t="n"/>
      <c r="L9" s="505" t="n"/>
      <c r="M9" s="499" t="n"/>
      <c r="N9" s="439" t="n"/>
      <c r="O9" s="439" t="n"/>
    </row>
    <row r="10" ht="30" customHeight="1" s="134">
      <c r="A10" s="503" t="n"/>
      <c r="B10" s="506" t="inlineStr">
        <is>
          <t>[E1] Exportations hors UE</t>
        </is>
      </c>
      <c r="C10" s="536" t="n"/>
      <c r="D10" s="502">
        <f>D9</f>
        <v/>
      </c>
      <c r="E10" s="487" t="n"/>
      <c r="F10" s="488" t="n"/>
      <c r="I10" s="1" t="n"/>
      <c r="J10" s="507" t="inlineStr">
        <is>
          <t>B Décompte de la TVA à payer</t>
        </is>
      </c>
      <c r="K10" s="539" t="n"/>
      <c r="L10" s="539" t="n"/>
      <c r="M10" s="536" t="n"/>
      <c r="N10" s="439" t="n"/>
      <c r="O10" s="439" t="n"/>
    </row>
    <row r="11" ht="24" customHeight="1" s="134" thickBot="1">
      <c r="A11" s="484" t="n">
        <v>4452</v>
      </c>
      <c r="B11" s="485" t="inlineStr">
        <is>
          <t>(B2) acquisition intracom</t>
        </is>
      </c>
      <c r="C11" s="485" t="n"/>
      <c r="D11" s="486" t="n"/>
      <c r="E11" s="487" t="n"/>
      <c r="F11" s="488">
        <f>E11</f>
        <v/>
      </c>
      <c r="I11" s="1" t="n"/>
      <c r="J11" s="493" t="n"/>
      <c r="K11" s="485" t="n"/>
      <c r="L11" s="485" t="n"/>
      <c r="M11" s="488" t="n"/>
      <c r="N11" s="439" t="n"/>
      <c r="O11" s="439" t="n"/>
    </row>
    <row r="12" ht="24" customHeight="1" s="134" thickBot="1">
      <c r="A12" s="484" t="n">
        <v>445663</v>
      </c>
      <c r="B12" s="485" t="inlineStr">
        <is>
          <t>importation hors UE (A4)</t>
        </is>
      </c>
      <c r="C12" s="485" t="n"/>
      <c r="D12" s="486" t="n"/>
      <c r="E12" s="487" t="n"/>
      <c r="F12" s="488">
        <f>E12</f>
        <v/>
      </c>
      <c r="I12" s="1" t="n"/>
      <c r="J12" s="479" t="inlineStr">
        <is>
          <t>TVA brut</t>
        </is>
      </c>
      <c r="K12" s="536" t="n"/>
      <c r="L12" s="508" t="inlineStr">
        <is>
          <t>Base HT</t>
        </is>
      </c>
      <c r="M12" s="490" t="inlineStr">
        <is>
          <t xml:space="preserve">Taxe due </t>
        </is>
      </c>
      <c r="N12" s="439" t="n"/>
      <c r="O12" s="439" t="n"/>
    </row>
    <row r="13" ht="24" customHeight="1" s="134">
      <c r="A13" s="503" t="n"/>
      <c r="B13" s="539" t="n"/>
      <c r="C13" s="536" t="n"/>
      <c r="D13" s="487" t="n"/>
      <c r="E13" s="487" t="n"/>
      <c r="F13" s="488">
        <f>E13</f>
        <v/>
      </c>
      <c r="G13" s="509" t="inlineStr">
        <is>
          <t>Résultat de la TVA</t>
        </is>
      </c>
      <c r="H13" s="535" t="n"/>
      <c r="I13" s="1" t="n"/>
      <c r="J13" s="489" t="inlineStr">
        <is>
          <t>08 Taux 20%</t>
        </is>
      </c>
      <c r="K13" s="536" t="n"/>
      <c r="L13" s="497">
        <f>D3+D14</f>
        <v/>
      </c>
      <c r="M13" s="490">
        <f>F3+F14</f>
        <v/>
      </c>
      <c r="N13" s="276" t="n"/>
      <c r="O13" s="277" t="n"/>
    </row>
    <row r="14" ht="24" customHeight="1" s="134">
      <c r="A14" s="484" t="n">
        <v>607002</v>
      </c>
      <c r="B14" s="485" t="inlineStr">
        <is>
          <t>(03) Achats de marchandises- UE</t>
        </is>
      </c>
      <c r="C14" s="485" t="n"/>
      <c r="D14" s="486" t="n"/>
      <c r="E14" s="487">
        <f>D14*20%</f>
        <v/>
      </c>
      <c r="F14" s="488">
        <f>E14</f>
        <v/>
      </c>
      <c r="G14" s="511" t="inlineStr">
        <is>
          <t>Solde (ligne 16 − ligne 23)</t>
        </is>
      </c>
      <c r="H14" s="512">
        <f>F15-F23</f>
        <v/>
      </c>
      <c r="I14" s="143" t="n"/>
      <c r="J14" s="489" t="inlineStr">
        <is>
          <t>09 Taux 10%</t>
        </is>
      </c>
      <c r="K14" s="536" t="n"/>
      <c r="L14" s="502">
        <f>D4</f>
        <v/>
      </c>
      <c r="M14" s="490">
        <f>F4</f>
        <v/>
      </c>
      <c r="N14" s="439" t="n"/>
      <c r="O14" s="439" t="n"/>
    </row>
    <row r="15" ht="24" customHeight="1" s="134" thickBot="1">
      <c r="A15" s="503" t="inlineStr">
        <is>
          <t>(16) TOTAL TVA BRUT DUE</t>
        </is>
      </c>
      <c r="B15" s="539" t="n"/>
      <c r="C15" s="539" t="n"/>
      <c r="D15" s="539" t="n"/>
      <c r="E15" s="536" t="n"/>
      <c r="F15" s="513">
        <f>SUM(F6:F14)</f>
        <v/>
      </c>
      <c r="G15" s="511" t="n"/>
      <c r="H15" s="466" t="n"/>
      <c r="I15" s="112" t="n"/>
      <c r="J15" s="489" t="inlineStr">
        <is>
          <t>09B taux 5,5</t>
        </is>
      </c>
      <c r="K15" s="536" t="n"/>
      <c r="L15" s="502">
        <f>D5</f>
        <v/>
      </c>
      <c r="M15" s="490">
        <f>F5</f>
        <v/>
      </c>
      <c r="N15" s="439" t="n"/>
      <c r="O15" s="439" t="n"/>
    </row>
    <row r="16" ht="24" customHeight="1" s="134" thickBot="1">
      <c r="A16" s="514" t="inlineStr">
        <is>
          <t>(16) TVA déductible</t>
        </is>
      </c>
      <c r="B16" s="539" t="n"/>
      <c r="C16" s="539" t="n"/>
      <c r="D16" s="539" t="n"/>
      <c r="E16" s="536" t="n"/>
      <c r="F16" s="488" t="n"/>
      <c r="G16" s="515" t="inlineStr">
        <is>
          <t>Le solde est un</t>
        </is>
      </c>
      <c r="H16" s="516">
        <f t="array" ref="H16">IFERROR(_xlfn.IFS(H14&lt;0,"crédit",H14&gt;0,"à décaisser"),"inconnu")</f>
        <v/>
      </c>
      <c r="I16" s="1" t="n"/>
      <c r="J16" s="489" t="inlineStr">
        <is>
          <t xml:space="preserve">16 Total TVA brut due </t>
        </is>
      </c>
      <c r="K16" s="539" t="n"/>
      <c r="L16" s="536" t="n"/>
      <c r="M16" s="490">
        <f>F15</f>
        <v/>
      </c>
      <c r="N16" s="439" t="n"/>
      <c r="O16" s="439" t="n"/>
    </row>
    <row r="17" ht="24" customHeight="1" s="134" thickBot="1">
      <c r="A17" s="484" t="n">
        <v>445620</v>
      </c>
      <c r="B17" s="504" t="inlineStr">
        <is>
          <t>(19) TVA déductible sur immobilisations</t>
        </is>
      </c>
      <c r="C17" s="539" t="n"/>
      <c r="D17" s="536" t="n"/>
      <c r="E17" s="486" t="n"/>
      <c r="F17" s="488">
        <f>E17</f>
        <v/>
      </c>
      <c r="I17" s="1" t="n"/>
      <c r="J17" s="489" t="inlineStr">
        <is>
          <t>17 Dont TVA sur acquisition intracom</t>
        </is>
      </c>
      <c r="K17" s="539" t="n"/>
      <c r="L17" s="536" t="n"/>
      <c r="M17" s="490">
        <f>E14</f>
        <v/>
      </c>
      <c r="N17" s="439" t="n"/>
      <c r="O17" s="439" t="n"/>
    </row>
    <row r="18" ht="24" customHeight="1" s="134" thickBot="1">
      <c r="A18" s="484" t="n">
        <v>445660</v>
      </c>
      <c r="B18" s="504" t="inlineStr">
        <is>
          <t>(20) TVA déductible sur ABS 20%</t>
        </is>
      </c>
      <c r="C18" s="539" t="n"/>
      <c r="D18" s="536" t="n"/>
      <c r="E18" s="486" t="n"/>
      <c r="F18" s="488">
        <f>E18</f>
        <v/>
      </c>
      <c r="H18" s="61" t="n"/>
      <c r="I18" s="1" t="n"/>
      <c r="J18" s="493" t="n"/>
      <c r="K18" s="485" t="n"/>
      <c r="L18" s="485" t="n"/>
      <c r="M18" s="488" t="n"/>
      <c r="N18" s="439" t="n"/>
      <c r="O18" s="439" t="n"/>
    </row>
    <row r="19" ht="24" customHeight="1" s="134" thickBot="1">
      <c r="A19" s="493" t="n"/>
      <c r="B19" s="504" t="inlineStr">
        <is>
          <t>(20) TVA déductible sur ABS 10%</t>
        </is>
      </c>
      <c r="C19" s="539" t="n"/>
      <c r="D19" s="536" t="n"/>
      <c r="E19" s="486" t="n"/>
      <c r="F19" s="488">
        <f>E19</f>
        <v/>
      </c>
      <c r="I19" s="1" t="n"/>
      <c r="J19" s="479" t="inlineStr">
        <is>
          <t>HT</t>
        </is>
      </c>
      <c r="K19" s="539" t="n"/>
      <c r="L19" s="536" t="n"/>
      <c r="M19" s="490" t="inlineStr">
        <is>
          <t>Taxe due</t>
        </is>
      </c>
      <c r="N19" s="439" t="n"/>
      <c r="O19" s="439" t="n"/>
    </row>
    <row r="20" ht="24" customHeight="1" s="134">
      <c r="A20" s="493" t="n"/>
      <c r="B20" s="504" t="inlineStr">
        <is>
          <t>(20) TVA déductible sur ABS 5,5%</t>
        </is>
      </c>
      <c r="C20" s="539" t="n"/>
      <c r="D20" s="536" t="n"/>
      <c r="E20" s="486" t="n"/>
      <c r="F20" s="488">
        <f>E20</f>
        <v/>
      </c>
      <c r="I20" s="1" t="n"/>
      <c r="J20" s="489" t="inlineStr">
        <is>
          <t>19 immobilisation</t>
        </is>
      </c>
      <c r="K20" s="539" t="n"/>
      <c r="L20" s="536" t="n"/>
      <c r="M20" s="490">
        <f>F17</f>
        <v/>
      </c>
      <c r="N20" s="439" t="n"/>
      <c r="O20" s="439" t="n"/>
    </row>
    <row r="21" ht="24" customHeight="1" s="134">
      <c r="A21" s="484" t="n">
        <v>445662</v>
      </c>
      <c r="B21" s="504" t="inlineStr">
        <is>
          <t>(20) TVA due  intracom</t>
        </is>
      </c>
      <c r="C21" s="539" t="n"/>
      <c r="D21" s="536" t="n"/>
      <c r="E21" s="487">
        <f>E14</f>
        <v/>
      </c>
      <c r="F21" s="488">
        <f>E21</f>
        <v/>
      </c>
      <c r="I21" s="1" t="n"/>
      <c r="J21" s="489" t="inlineStr">
        <is>
          <t>20 ABS</t>
        </is>
      </c>
      <c r="K21" s="539" t="n"/>
      <c r="L21" s="536" t="n"/>
      <c r="M21" s="490">
        <f>SUM(F18:F21)</f>
        <v/>
      </c>
      <c r="N21" s="439" t="n"/>
      <c r="O21" s="439" t="n"/>
    </row>
    <row r="22" ht="24" customHeight="1" s="134">
      <c r="A22" s="484" t="n">
        <v>445670</v>
      </c>
      <c r="B22" s="504" t="inlineStr">
        <is>
          <t xml:space="preserve">(22) crédit de tva </t>
        </is>
      </c>
      <c r="C22" s="539" t="n"/>
      <c r="D22" s="536" t="n"/>
      <c r="E22" s="486" t="n"/>
      <c r="F22" s="488">
        <f>E22</f>
        <v/>
      </c>
      <c r="I22" s="1" t="n"/>
      <c r="J22" s="489" t="inlineStr">
        <is>
          <t xml:space="preserve">22 report de crédit </t>
        </is>
      </c>
      <c r="K22" s="539" t="n"/>
      <c r="L22" s="536" t="n"/>
      <c r="M22" s="490">
        <f>F22</f>
        <v/>
      </c>
      <c r="N22" s="439" t="n"/>
      <c r="O22" s="439" t="n"/>
    </row>
    <row r="23" ht="24" customHeight="1" s="134" thickBot="1">
      <c r="A23" s="493" t="n"/>
      <c r="B23" s="517" t="inlineStr">
        <is>
          <t>(23) TOTAL TVA déductible</t>
        </is>
      </c>
      <c r="C23" s="539" t="n"/>
      <c r="D23" s="539" t="n"/>
      <c r="E23" s="536" t="n"/>
      <c r="F23" s="513">
        <f>SUM(E17:E22)</f>
        <v/>
      </c>
      <c r="I23" s="1" t="n"/>
      <c r="J23" s="489" t="inlineStr">
        <is>
          <t>23 Total TVA déductible</t>
        </is>
      </c>
      <c r="K23" s="539" t="n"/>
      <c r="L23" s="536" t="n"/>
      <c r="M23" s="490">
        <f>SUM(M20:M22)</f>
        <v/>
      </c>
      <c r="N23" s="276" t="n"/>
      <c r="O23" s="276" t="n"/>
    </row>
    <row r="24" ht="24" customHeight="1" s="134" thickBot="1">
      <c r="A24" s="484" t="n">
        <v>445510</v>
      </c>
      <c r="B24" s="517" t="inlineStr">
        <is>
          <t>(28) et (32) TVA à decaisser</t>
        </is>
      </c>
      <c r="C24" s="539" t="n"/>
      <c r="D24" s="539" t="n"/>
      <c r="E24" s="536" t="n"/>
      <c r="F24" s="518">
        <f>IF(H14&gt;0,H14,0)</f>
        <v/>
      </c>
      <c r="I24" s="1" t="n"/>
      <c r="J24" s="493" t="n"/>
      <c r="K24" s="485" t="n"/>
      <c r="L24" s="485" t="n"/>
      <c r="M24" s="488" t="n"/>
      <c r="N24" s="439" t="n"/>
      <c r="O24" s="439" t="n"/>
    </row>
    <row r="25" ht="24" customHeight="1" s="134" thickBot="1">
      <c r="A25" s="519" t="n">
        <v>445670</v>
      </c>
      <c r="B25" s="520" t="inlineStr">
        <is>
          <t>(25) et (27) crédit de TVA à reporter</t>
        </is>
      </c>
      <c r="C25" s="537" t="n"/>
      <c r="D25" s="537" t="n"/>
      <c r="E25" s="538" t="n"/>
      <c r="F25" s="522">
        <f>IF(H14&lt;0,-H14,0)</f>
        <v/>
      </c>
      <c r="I25" s="1" t="n"/>
      <c r="J25" s="479" t="inlineStr">
        <is>
          <t>Crédit</t>
        </is>
      </c>
      <c r="K25" s="539" t="n"/>
      <c r="L25" s="536" t="n"/>
      <c r="M25" s="499" t="n"/>
      <c r="N25" s="439" t="n"/>
      <c r="O25" s="439" t="n"/>
    </row>
    <row r="26" ht="24" customHeight="1" s="134">
      <c r="A26" s="1" t="n"/>
      <c r="B26" s="1" t="n"/>
      <c r="C26" s="1" t="n"/>
      <c r="D26" s="1" t="n"/>
      <c r="E26" s="1" t="n"/>
      <c r="F26" s="1" t="n"/>
      <c r="I26" s="1" t="n"/>
      <c r="J26" s="489" t="inlineStr">
        <is>
          <t>25 Crédit de TVA (ligne 25- ligne 16)</t>
        </is>
      </c>
      <c r="K26" s="539" t="n"/>
      <c r="L26" s="536" t="n"/>
      <c r="M26" s="499">
        <f>F25</f>
        <v/>
      </c>
      <c r="N26" s="439" t="n"/>
      <c r="O26" s="439" t="n"/>
    </row>
    <row r="27" ht="24" customHeight="1" s="134" thickBot="1">
      <c r="I27" s="1" t="n"/>
      <c r="J27" s="489" t="inlineStr">
        <is>
          <t>27 Crédit à reporter</t>
        </is>
      </c>
      <c r="K27" s="539" t="n"/>
      <c r="L27" s="536" t="n"/>
      <c r="M27" s="499">
        <f>F25</f>
        <v/>
      </c>
      <c r="N27" s="439" t="n"/>
      <c r="O27" s="439" t="n"/>
    </row>
    <row r="28" ht="24" customHeight="1" s="134" thickBot="1">
      <c r="A28" s="7" t="n"/>
      <c r="B28" s="7" t="n"/>
      <c r="C28" s="7" t="n"/>
      <c r="D28" s="7" t="n"/>
      <c r="E28" s="7" t="n"/>
      <c r="I28" s="1" t="n"/>
      <c r="J28" s="493" t="n"/>
      <c r="K28" s="485" t="n"/>
      <c r="L28" s="485" t="n"/>
      <c r="M28" s="488" t="n"/>
      <c r="N28" s="439" t="n"/>
      <c r="O28" s="439" t="n"/>
    </row>
    <row r="29" ht="24" customHeight="1" s="134" thickBot="1">
      <c r="A29" s="7" t="n"/>
      <c r="B29" s="7" t="n"/>
      <c r="C29" s="7" t="n"/>
      <c r="D29" s="7" t="n"/>
      <c r="E29" s="7" t="n"/>
      <c r="I29" s="1" t="n"/>
      <c r="J29" s="479" t="inlineStr">
        <is>
          <t xml:space="preserve">Taxe à payer </t>
        </is>
      </c>
      <c r="K29" s="539" t="n"/>
      <c r="L29" s="536" t="n"/>
      <c r="M29" s="488" t="n"/>
      <c r="N29" s="439" t="n"/>
      <c r="O29" s="439" t="n"/>
    </row>
    <row r="30" ht="24" customHeight="1" s="134">
      <c r="A30" s="7" t="n"/>
      <c r="B30" s="7" t="n"/>
      <c r="C30" s="7" t="n"/>
      <c r="D30" s="7" t="n"/>
      <c r="E30" s="7" t="n"/>
      <c r="I30" s="1" t="n"/>
      <c r="J30" s="489" t="inlineStr">
        <is>
          <t>28 TVA nette due (ligne16-ligne 23) TD</t>
        </is>
      </c>
      <c r="K30" s="539" t="n"/>
      <c r="L30" s="536" t="n"/>
      <c r="M30" s="488">
        <f>F24</f>
        <v/>
      </c>
      <c r="N30" s="439" t="n"/>
      <c r="O30" s="439" t="n"/>
    </row>
    <row r="31" ht="24" customHeight="1" s="134" thickBot="1">
      <c r="I31" s="1" t="n"/>
      <c r="J31" s="523" t="inlineStr">
        <is>
          <t>32 Total à payer</t>
        </is>
      </c>
      <c r="K31" s="537" t="n"/>
      <c r="L31" s="538" t="n"/>
      <c r="M31" s="524">
        <f>F24</f>
        <v/>
      </c>
      <c r="N31" s="439" t="n"/>
      <c r="O31" s="439" t="n"/>
    </row>
    <row r="32">
      <c r="A32" s="308" t="n"/>
      <c r="N32" s="439" t="n"/>
      <c r="O32" s="439" t="n"/>
    </row>
    <row r="33">
      <c r="J33" s="525" t="inlineStr">
        <is>
          <t>Le tableau de droite reproduit la présentation de la déclaration de TVA CA3 : les cases (A, B, 08, 09, 16, 19, 20, 22, 23, 25, 27, 28, 32) se remplissent toutes seules à partir du tableau de gauche. Il sert d'exemple pour savoir où reporter chaque montant sur votre déclaration.</t>
        </is>
      </c>
      <c r="K33" s="549" t="n"/>
      <c r="L33" s="549" t="n"/>
      <c r="M33" s="550" t="n"/>
      <c r="N33" s="439" t="n"/>
      <c r="O33" s="439" t="n"/>
    </row>
    <row r="34">
      <c r="J34" s="551" t="n"/>
      <c r="M34" s="552" t="n"/>
      <c r="N34" s="439" t="n"/>
      <c r="O34" s="439" t="n"/>
    </row>
    <row r="35">
      <c r="J35" s="553" t="n"/>
      <c r="K35" s="554" t="n"/>
      <c r="L35" s="554" t="n"/>
      <c r="M35" s="555" t="n"/>
      <c r="N35" s="439" t="n"/>
      <c r="O35" s="439" t="n"/>
    </row>
    <row r="36" ht="22" customHeight="1" s="134">
      <c r="A36" s="203" t="inlineStr">
        <is>
          <t>Comment ça marche : les formules, cellule par cellule</t>
        </is>
      </c>
      <c r="B36" s="532" t="n"/>
      <c r="C36" s="532" t="n"/>
      <c r="D36" s="532" t="n"/>
      <c r="E36" s="532" t="n"/>
      <c r="F36" s="532" t="n"/>
      <c r="G36" s="532" t="n"/>
      <c r="H36" s="532" t="n"/>
      <c r="I36" s="532" t="n"/>
      <c r="J36" s="532" t="n"/>
      <c r="K36" s="532" t="n"/>
      <c r="L36" s="532" t="n"/>
      <c r="M36" s="532" t="n"/>
      <c r="N36" s="532" t="n"/>
      <c r="O36" s="533" t="n"/>
    </row>
    <row r="37" ht="21" customHeight="1" s="134">
      <c r="A37" s="309" t="inlineStr">
        <is>
          <t>Cellules jaunes : bases HT et montants à saisir. Cellules turquoise pâle ou navy : calculées automatiquement, ne pas écrire dedans.</t>
        </is>
      </c>
      <c r="B37" s="532" t="n"/>
      <c r="C37" s="532" t="n"/>
      <c r="D37" s="532" t="n"/>
      <c r="E37" s="532" t="n"/>
      <c r="F37" s="532" t="n"/>
      <c r="G37" s="532" t="n"/>
      <c r="H37" s="532" t="n"/>
      <c r="I37" s="532" t="n"/>
      <c r="J37" s="532" t="n"/>
      <c r="K37" s="532" t="n"/>
      <c r="L37" s="532" t="n"/>
      <c r="M37" s="532" t="n"/>
      <c r="N37" s="532" t="n"/>
      <c r="O37" s="533" t="n"/>
    </row>
    <row r="38">
      <c r="A38" s="204" t="inlineStr">
        <is>
          <t>Cellule(s)</t>
        </is>
      </c>
      <c r="B38" s="533" t="n"/>
      <c r="C38" s="204" t="inlineStr">
        <is>
          <t>Formule (Excel en français)</t>
        </is>
      </c>
      <c r="D38" s="532" t="n"/>
      <c r="E38" s="532" t="n"/>
      <c r="F38" s="533" t="n"/>
      <c r="G38" s="204" t="inlineStr">
        <is>
          <t>Ce qu'elle fait</t>
        </is>
      </c>
      <c r="H38" s="532" t="n"/>
      <c r="I38" s="532" t="n"/>
      <c r="J38" s="532" t="n"/>
      <c r="K38" s="532" t="n"/>
      <c r="L38" s="532" t="n"/>
      <c r="M38" s="532" t="n"/>
      <c r="N38" s="532" t="n"/>
      <c r="O38" s="533" t="n"/>
    </row>
    <row r="39" ht="19" customHeight="1" s="134">
      <c r="A39" s="205" t="inlineStr">
        <is>
          <t>E3 · E4 · E5</t>
        </is>
      </c>
      <c r="B39" s="533" t="n"/>
      <c r="C39" s="206" t="inlineStr">
        <is>
          <t>=D3*20%   =D4*10%   =D5*5,5%</t>
        </is>
      </c>
      <c r="D39" s="532" t="n"/>
      <c r="E39" s="532" t="n"/>
      <c r="F39" s="533" t="n"/>
      <c r="G39" s="200" t="inlineStr">
        <is>
          <t>TVA collectée = base HT × taux. Saisissez le hors taxe en D3 (20 %), D4 (10 %), D5 (5,5 %).</t>
        </is>
      </c>
      <c r="H39" s="532" t="n"/>
      <c r="I39" s="532" t="n"/>
      <c r="J39" s="532" t="n"/>
      <c r="K39" s="532" t="n"/>
      <c r="L39" s="532" t="n"/>
      <c r="M39" s="532" t="n"/>
      <c r="N39" s="532" t="n"/>
      <c r="O39" s="533" t="n"/>
    </row>
    <row r="40" ht="19" customHeight="1" s="134">
      <c r="A40" s="207" t="inlineStr">
        <is>
          <t>E14</t>
        </is>
      </c>
      <c r="B40" s="533" t="n"/>
      <c r="C40" s="208" t="inlineStr">
        <is>
          <t>=D14*20%</t>
        </is>
      </c>
      <c r="D40" s="532" t="n"/>
      <c r="E40" s="532" t="n"/>
      <c r="F40" s="533" t="n"/>
      <c r="G40" s="202" t="inlineStr">
        <is>
          <t>TVA sur achats intracommunautaires (autoliquidation) : 20 % de la base HT saisie en D14.</t>
        </is>
      </c>
      <c r="H40" s="532" t="n"/>
      <c r="I40" s="532" t="n"/>
      <c r="J40" s="532" t="n"/>
      <c r="K40" s="532" t="n"/>
      <c r="L40" s="532" t="n"/>
      <c r="M40" s="532" t="n"/>
      <c r="N40" s="532" t="n"/>
      <c r="O40" s="533" t="n"/>
    </row>
    <row r="41" ht="19" customHeight="1" s="134">
      <c r="A41" s="205" t="inlineStr">
        <is>
          <t>F3:F6 · F11:F14 · F17:F22</t>
        </is>
      </c>
      <c r="B41" s="533" t="n"/>
      <c r="C41" s="206" t="inlineStr">
        <is>
          <t>=E3  (même principe ligne par ligne)</t>
        </is>
      </c>
      <c r="D41" s="532" t="n"/>
      <c r="E41" s="532" t="n"/>
      <c r="F41" s="533" t="n"/>
      <c r="G41" s="200" t="inlineStr">
        <is>
          <t>Colonne « TVA arrondi » : reprend la TVA calculée en colonne E, ligne par ligne.</t>
        </is>
      </c>
      <c r="H41" s="532" t="n"/>
      <c r="I41" s="532" t="n"/>
      <c r="J41" s="532" t="n"/>
      <c r="K41" s="532" t="n"/>
      <c r="L41" s="532" t="n"/>
      <c r="M41" s="532" t="n"/>
      <c r="N41" s="532" t="n"/>
      <c r="O41" s="533" t="n"/>
    </row>
    <row r="42" ht="19" customHeight="1" s="134">
      <c r="A42" s="207" t="inlineStr">
        <is>
          <t>D6 · E6</t>
        </is>
      </c>
      <c r="B42" s="533" t="n"/>
      <c r="C42" s="208" t="inlineStr">
        <is>
          <t>=SOMME(D3:D5)   =SOMME(E3:E5)</t>
        </is>
      </c>
      <c r="D42" s="532" t="n"/>
      <c r="E42" s="532" t="n"/>
      <c r="F42" s="533" t="n"/>
      <c r="G42" s="202" t="inlineStr">
        <is>
          <t>Total des ventes HT et de la TVA collectée sur les ventes en France (ligne A1).</t>
        </is>
      </c>
      <c r="H42" s="532" t="n"/>
      <c r="I42" s="532" t="n"/>
      <c r="J42" s="532" t="n"/>
      <c r="K42" s="532" t="n"/>
      <c r="L42" s="532" t="n"/>
      <c r="M42" s="532" t="n"/>
      <c r="N42" s="532" t="n"/>
      <c r="O42" s="533" t="n"/>
    </row>
    <row r="43" ht="19" customHeight="1" s="134">
      <c r="A43" s="205" t="inlineStr">
        <is>
          <t>D8 · D10</t>
        </is>
      </c>
      <c r="B43" s="533" t="n"/>
      <c r="C43" s="206" t="inlineStr">
        <is>
          <t>=D7   =D9</t>
        </is>
      </c>
      <c r="D43" s="532" t="n"/>
      <c r="E43" s="532" t="n"/>
      <c r="F43" s="533" t="n"/>
      <c r="G43" s="200" t="inlineStr">
        <is>
          <t>Reprennent la base HT des livraisons intracommunautaires (F2) et des exportations hors UE (E1) saisies juste au-dessus.</t>
        </is>
      </c>
      <c r="H43" s="532" t="n"/>
      <c r="I43" s="532" t="n"/>
      <c r="J43" s="532" t="n"/>
      <c r="K43" s="532" t="n"/>
      <c r="L43" s="532" t="n"/>
      <c r="M43" s="532" t="n"/>
      <c r="N43" s="532" t="n"/>
      <c r="O43" s="533" t="n"/>
    </row>
    <row r="44" ht="19" customHeight="1" s="134">
      <c r="A44" s="207" t="inlineStr">
        <is>
          <t>E21</t>
        </is>
      </c>
      <c r="B44" s="533" t="n"/>
      <c r="C44" s="208" t="inlineStr">
        <is>
          <t>=E14</t>
        </is>
      </c>
      <c r="D44" s="532" t="n"/>
      <c r="E44" s="532" t="n"/>
      <c r="F44" s="533" t="n"/>
      <c r="G44" s="202" t="inlineStr">
        <is>
          <t>TVA due sur acquisitions intracommunautaires : même montant que E14, qui devient aussi déductible.</t>
        </is>
      </c>
      <c r="H44" s="532" t="n"/>
      <c r="I44" s="532" t="n"/>
      <c r="J44" s="532" t="n"/>
      <c r="K44" s="532" t="n"/>
      <c r="L44" s="532" t="n"/>
      <c r="M44" s="532" t="n"/>
      <c r="N44" s="532" t="n"/>
      <c r="O44" s="533" t="n"/>
    </row>
    <row r="45" ht="19" customHeight="1" s="134">
      <c r="A45" s="205" t="inlineStr">
        <is>
          <t>F15</t>
        </is>
      </c>
      <c r="B45" s="533" t="n"/>
      <c r="C45" s="206" t="inlineStr">
        <is>
          <t>=SOMME(F6:F14)</t>
        </is>
      </c>
      <c r="D45" s="532" t="n"/>
      <c r="E45" s="532" t="n"/>
      <c r="F45" s="533" t="n"/>
      <c r="G45" s="200" t="inlineStr">
        <is>
          <t>Total de la TVA brute due (ligne 16 de la déclaration).</t>
        </is>
      </c>
      <c r="H45" s="532" t="n"/>
      <c r="I45" s="532" t="n"/>
      <c r="J45" s="532" t="n"/>
      <c r="K45" s="532" t="n"/>
      <c r="L45" s="532" t="n"/>
      <c r="M45" s="532" t="n"/>
      <c r="N45" s="532" t="n"/>
      <c r="O45" s="533" t="n"/>
    </row>
    <row r="46" ht="19" customHeight="1" s="134">
      <c r="A46" s="207" t="inlineStr">
        <is>
          <t>F23</t>
        </is>
      </c>
      <c r="B46" s="533" t="n"/>
      <c r="C46" s="208" t="inlineStr">
        <is>
          <t>=SOMME(E17:E22)</t>
        </is>
      </c>
      <c r="D46" s="532" t="n"/>
      <c r="E46" s="532" t="n"/>
      <c r="F46" s="533" t="n"/>
      <c r="G46" s="202" t="inlineStr">
        <is>
          <t>Total de la TVA déductible (ligne 23) : immobilisations, autres biens et services, TVA intracom et crédit reporté.</t>
        </is>
      </c>
      <c r="H46" s="532" t="n"/>
      <c r="I46" s="532" t="n"/>
      <c r="J46" s="532" t="n"/>
      <c r="K46" s="532" t="n"/>
      <c r="L46" s="532" t="n"/>
      <c r="M46" s="532" t="n"/>
      <c r="N46" s="532" t="n"/>
      <c r="O46" s="533" t="n"/>
    </row>
    <row r="47" ht="19" customHeight="1" s="134">
      <c r="A47" s="205" t="inlineStr">
        <is>
          <t>H14</t>
        </is>
      </c>
      <c r="B47" s="533" t="n"/>
      <c r="C47" s="206" t="inlineStr">
        <is>
          <t>=F15-F23</t>
        </is>
      </c>
      <c r="D47" s="532" t="n"/>
      <c r="E47" s="532" t="n"/>
      <c r="F47" s="533" t="n"/>
      <c r="G47" s="200" t="inlineStr">
        <is>
          <t>Solde de TVA : TVA brute due moins TVA déductible. Positif = TVA à payer ; négatif = crédit de TVA.</t>
        </is>
      </c>
      <c r="H47" s="532" t="n"/>
      <c r="I47" s="532" t="n"/>
      <c r="J47" s="532" t="n"/>
      <c r="K47" s="532" t="n"/>
      <c r="L47" s="532" t="n"/>
      <c r="M47" s="532" t="n"/>
      <c r="N47" s="532" t="n"/>
      <c r="O47" s="533" t="n"/>
    </row>
    <row r="48" ht="34" customHeight="1" s="134">
      <c r="A48" s="207" t="inlineStr">
        <is>
          <t>H16</t>
        </is>
      </c>
      <c r="B48" s="533" t="n"/>
      <c r="C48" s="208" t="inlineStr">
        <is>
          <t>=SIERREUR(SI.CONDITIONS(H14&lt;0;"crédit";H14&gt;0;"à décaisser");"inconnu")</t>
        </is>
      </c>
      <c r="D48" s="532" t="n"/>
      <c r="E48" s="532" t="n"/>
      <c r="F48" s="533" t="n"/>
      <c r="G48" s="202" t="inlineStr">
        <is>
          <t>Indique en toutes lettres la nature du solde. Tant que le solde est à zéro, la cellule affiche « inconnu ».</t>
        </is>
      </c>
      <c r="H48" s="532" t="n"/>
      <c r="I48" s="532" t="n"/>
      <c r="J48" s="532" t="n"/>
      <c r="K48" s="532" t="n"/>
      <c r="L48" s="532" t="n"/>
      <c r="M48" s="532" t="n"/>
      <c r="N48" s="532" t="n"/>
      <c r="O48" s="533" t="n"/>
    </row>
    <row r="49" ht="19" customHeight="1" s="134">
      <c r="A49" s="205" t="inlineStr">
        <is>
          <t>F24</t>
        </is>
      </c>
      <c r="B49" s="533" t="n"/>
      <c r="C49" s="206" t="inlineStr">
        <is>
          <t>=SI(H14&gt;0;H14;0)</t>
        </is>
      </c>
      <c r="D49" s="532" t="n"/>
      <c r="E49" s="532" t="n"/>
      <c r="F49" s="533" t="n"/>
      <c r="G49" s="200" t="inlineStr">
        <is>
          <t>TVA à décaisser (lignes 28 et 32) : le solde, s'il est positif.</t>
        </is>
      </c>
      <c r="H49" s="532" t="n"/>
      <c r="I49" s="532" t="n"/>
      <c r="J49" s="532" t="n"/>
      <c r="K49" s="532" t="n"/>
      <c r="L49" s="532" t="n"/>
      <c r="M49" s="532" t="n"/>
      <c r="N49" s="532" t="n"/>
      <c r="O49" s="533" t="n"/>
    </row>
    <row r="50" ht="19" customHeight="1" s="134">
      <c r="A50" s="207" t="inlineStr">
        <is>
          <t>F25</t>
        </is>
      </c>
      <c r="B50" s="533" t="n"/>
      <c r="C50" s="208" t="inlineStr">
        <is>
          <t>=SI(H14&lt;0;-H14;0)</t>
        </is>
      </c>
      <c r="D50" s="532" t="n"/>
      <c r="E50" s="532" t="n"/>
      <c r="F50" s="533" t="n"/>
      <c r="G50" s="202" t="inlineStr">
        <is>
          <t>Crédit de TVA à reporter (lignes 25 et 27) : le solde, s'il est négatif, affiché en positif.</t>
        </is>
      </c>
      <c r="H50" s="532" t="n"/>
      <c r="I50" s="532" t="n"/>
      <c r="J50" s="532" t="n"/>
      <c r="K50" s="532" t="n"/>
      <c r="L50" s="532" t="n"/>
      <c r="M50" s="532" t="n"/>
      <c r="N50" s="532" t="n"/>
      <c r="O50" s="533" t="n"/>
    </row>
    <row r="51" ht="19" customHeight="1" s="134">
      <c r="A51" s="205" t="inlineStr">
        <is>
          <t>M3 · M4</t>
        </is>
      </c>
      <c r="B51" s="533" t="n"/>
      <c r="C51" s="206" t="inlineStr">
        <is>
          <t>=D6   =D14</t>
        </is>
      </c>
      <c r="D51" s="532" t="n"/>
      <c r="E51" s="532" t="n"/>
      <c r="F51" s="533" t="n"/>
      <c r="G51" s="200" t="inlineStr">
        <is>
          <t>Montants des opérations réalisées : A1 ventes et prestations, B2 acquisitions intracommunautaires.</t>
        </is>
      </c>
      <c r="H51" s="532" t="n"/>
      <c r="I51" s="532" t="n"/>
      <c r="J51" s="532" t="n"/>
      <c r="K51" s="532" t="n"/>
      <c r="L51" s="532" t="n"/>
      <c r="M51" s="532" t="n"/>
      <c r="N51" s="532" t="n"/>
      <c r="O51" s="533" t="n"/>
    </row>
    <row r="52" ht="19" customHeight="1" s="134">
      <c r="A52" s="207" t="inlineStr">
        <is>
          <t>M7 · M8</t>
        </is>
      </c>
      <c r="B52" s="533" t="n"/>
      <c r="C52" s="208" t="inlineStr">
        <is>
          <t>=D10   =D8</t>
        </is>
      </c>
      <c r="D52" s="532" t="n"/>
      <c r="E52" s="532" t="n"/>
      <c r="F52" s="533" t="n"/>
      <c r="G52" s="202" t="inlineStr">
        <is>
          <t>Opérations non taxées : exportations hors UE (E1) et livraisons intracommunautaires (F2).</t>
        </is>
      </c>
      <c r="H52" s="532" t="n"/>
      <c r="I52" s="532" t="n"/>
      <c r="J52" s="532" t="n"/>
      <c r="K52" s="532" t="n"/>
      <c r="L52" s="532" t="n"/>
      <c r="M52" s="532" t="n"/>
      <c r="N52" s="532" t="n"/>
      <c r="O52" s="533" t="n"/>
    </row>
    <row r="53" ht="19" customHeight="1" s="134">
      <c r="A53" s="205" t="inlineStr">
        <is>
          <t>L13 · M13</t>
        </is>
      </c>
      <c r="B53" s="533" t="n"/>
      <c r="C53" s="206" t="inlineStr">
        <is>
          <t>=D3+D14   =F3+F14</t>
        </is>
      </c>
      <c r="D53" s="532" t="n"/>
      <c r="E53" s="532" t="n"/>
      <c r="F53" s="533" t="n"/>
      <c r="G53" s="200" t="inlineStr">
        <is>
          <t>Ligne 08, taux 20 % : base HT (ventes à 20 % + acquisitions intracom) et taxe correspondante.</t>
        </is>
      </c>
      <c r="H53" s="532" t="n"/>
      <c r="I53" s="532" t="n"/>
      <c r="J53" s="532" t="n"/>
      <c r="K53" s="532" t="n"/>
      <c r="L53" s="532" t="n"/>
      <c r="M53" s="532" t="n"/>
      <c r="N53" s="532" t="n"/>
      <c r="O53" s="533" t="n"/>
    </row>
    <row r="54" ht="19" customHeight="1" s="134">
      <c r="A54" s="207" t="inlineStr">
        <is>
          <t>L14 · M14</t>
        </is>
      </c>
      <c r="B54" s="533" t="n"/>
      <c r="C54" s="208" t="inlineStr">
        <is>
          <t>=D4   =F4</t>
        </is>
      </c>
      <c r="D54" s="532" t="n"/>
      <c r="E54" s="532" t="n"/>
      <c r="F54" s="533" t="n"/>
      <c r="G54" s="202" t="inlineStr">
        <is>
          <t>Ligne 09, taux 10 % : base HT et taxe.</t>
        </is>
      </c>
      <c r="H54" s="532" t="n"/>
      <c r="I54" s="532" t="n"/>
      <c r="J54" s="532" t="n"/>
      <c r="K54" s="532" t="n"/>
      <c r="L54" s="532" t="n"/>
      <c r="M54" s="532" t="n"/>
      <c r="N54" s="532" t="n"/>
      <c r="O54" s="533" t="n"/>
    </row>
    <row r="55" ht="19" customHeight="1" s="134">
      <c r="A55" s="205" t="inlineStr">
        <is>
          <t>L15 · M15</t>
        </is>
      </c>
      <c r="B55" s="533" t="n"/>
      <c r="C55" s="206" t="inlineStr">
        <is>
          <t>=D5   =F5</t>
        </is>
      </c>
      <c r="D55" s="532" t="n"/>
      <c r="E55" s="532" t="n"/>
      <c r="F55" s="533" t="n"/>
      <c r="G55" s="200" t="inlineStr">
        <is>
          <t>Ligne 09B, taux 5,5 % : base HT et taxe.</t>
        </is>
      </c>
      <c r="H55" s="532" t="n"/>
      <c r="I55" s="532" t="n"/>
      <c r="J55" s="532" t="n"/>
      <c r="K55" s="532" t="n"/>
      <c r="L55" s="532" t="n"/>
      <c r="M55" s="532" t="n"/>
      <c r="N55" s="532" t="n"/>
      <c r="O55" s="533" t="n"/>
    </row>
    <row r="56" ht="19" customHeight="1" s="134">
      <c r="A56" s="207" t="inlineStr">
        <is>
          <t>M16 · M17</t>
        </is>
      </c>
      <c r="B56" s="533" t="n"/>
      <c r="C56" s="208" t="inlineStr">
        <is>
          <t>=F15   =E14</t>
        </is>
      </c>
      <c r="D56" s="532" t="n"/>
      <c r="E56" s="532" t="n"/>
      <c r="F56" s="533" t="n"/>
      <c r="G56" s="202" t="inlineStr">
        <is>
          <t>Ligne 16 : total de la TVA brute due. Ligne 17 : dont TVA sur acquisitions intracommunautaires.</t>
        </is>
      </c>
      <c r="H56" s="532" t="n"/>
      <c r="I56" s="532" t="n"/>
      <c r="J56" s="532" t="n"/>
      <c r="K56" s="532" t="n"/>
      <c r="L56" s="532" t="n"/>
      <c r="M56" s="532" t="n"/>
      <c r="N56" s="532" t="n"/>
      <c r="O56" s="533" t="n"/>
    </row>
    <row r="57" ht="19" customHeight="1" s="134">
      <c r="A57" s="205" t="inlineStr">
        <is>
          <t>M20</t>
        </is>
      </c>
      <c r="B57" s="533" t="n"/>
      <c r="C57" s="206" t="inlineStr">
        <is>
          <t>=F17</t>
        </is>
      </c>
      <c r="D57" s="532" t="n"/>
      <c r="E57" s="532" t="n"/>
      <c r="F57" s="533" t="n"/>
      <c r="G57" s="200" t="inlineStr">
        <is>
          <t>Ligne 19 : TVA déductible sur immobilisations.</t>
        </is>
      </c>
      <c r="H57" s="532" t="n"/>
      <c r="I57" s="532" t="n"/>
      <c r="J57" s="532" t="n"/>
      <c r="K57" s="532" t="n"/>
      <c r="L57" s="532" t="n"/>
      <c r="M57" s="532" t="n"/>
      <c r="N57" s="532" t="n"/>
      <c r="O57" s="533" t="n"/>
    </row>
    <row r="58" ht="19" customHeight="1" s="134">
      <c r="A58" s="207" t="inlineStr">
        <is>
          <t>M21</t>
        </is>
      </c>
      <c r="B58" s="533" t="n"/>
      <c r="C58" s="208" t="inlineStr">
        <is>
          <t>=SOMME(F18:F21)</t>
        </is>
      </c>
      <c r="D58" s="532" t="n"/>
      <c r="E58" s="532" t="n"/>
      <c r="F58" s="533" t="n"/>
      <c r="G58" s="202" t="inlineStr">
        <is>
          <t>Ligne 20 : TVA déductible sur autres biens et services (20 %, 10 %, 5,5 %, TVA intracom).</t>
        </is>
      </c>
      <c r="H58" s="532" t="n"/>
      <c r="I58" s="532" t="n"/>
      <c r="J58" s="532" t="n"/>
      <c r="K58" s="532" t="n"/>
      <c r="L58" s="532" t="n"/>
      <c r="M58" s="532" t="n"/>
      <c r="N58" s="532" t="n"/>
      <c r="O58" s="533" t="n"/>
    </row>
    <row r="59" ht="19" customHeight="1" s="134">
      <c r="A59" s="205" t="inlineStr">
        <is>
          <t>M22 · M23</t>
        </is>
      </c>
      <c r="B59" s="533" t="n"/>
      <c r="C59" s="206" t="inlineStr">
        <is>
          <t>=F22   =SOMME(M20:M22)</t>
        </is>
      </c>
      <c r="D59" s="532" t="n"/>
      <c r="E59" s="532" t="n"/>
      <c r="F59" s="533" t="n"/>
      <c r="G59" s="200" t="inlineStr">
        <is>
          <t>Ligne 22 : crédit de TVA de la période précédente. Ligne 23 : total de la TVA déductible.</t>
        </is>
      </c>
      <c r="H59" s="532" t="n"/>
      <c r="I59" s="532" t="n"/>
      <c r="J59" s="532" t="n"/>
      <c r="K59" s="532" t="n"/>
      <c r="L59" s="532" t="n"/>
      <c r="M59" s="532" t="n"/>
      <c r="N59" s="532" t="n"/>
      <c r="O59" s="533" t="n"/>
    </row>
    <row r="60" ht="19" customHeight="1" s="134">
      <c r="A60" s="207" t="inlineStr">
        <is>
          <t>M26 · M27</t>
        </is>
      </c>
      <c r="B60" s="533" t="n"/>
      <c r="C60" s="208" t="inlineStr">
        <is>
          <t>=F25</t>
        </is>
      </c>
      <c r="D60" s="532" t="n"/>
      <c r="E60" s="532" t="n"/>
      <c r="F60" s="533" t="n"/>
      <c r="G60" s="202" t="inlineStr">
        <is>
          <t>Lignes 25 et 27 : crédit de TVA, à reporter.</t>
        </is>
      </c>
      <c r="H60" s="532" t="n"/>
      <c r="I60" s="532" t="n"/>
      <c r="J60" s="532" t="n"/>
      <c r="K60" s="532" t="n"/>
      <c r="L60" s="532" t="n"/>
      <c r="M60" s="532" t="n"/>
      <c r="N60" s="532" t="n"/>
      <c r="O60" s="533" t="n"/>
    </row>
    <row r="61" ht="19" customHeight="1" s="134">
      <c r="A61" s="205" t="inlineStr">
        <is>
          <t>M30 · M31</t>
        </is>
      </c>
      <c r="B61" s="533" t="n"/>
      <c r="C61" s="206" t="inlineStr">
        <is>
          <t>=F24</t>
        </is>
      </c>
      <c r="D61" s="532" t="n"/>
      <c r="E61" s="532" t="n"/>
      <c r="F61" s="533" t="n"/>
      <c r="G61" s="200" t="inlineStr">
        <is>
          <t>Lignes 28 et 32 : TVA nette due, à payer.</t>
        </is>
      </c>
      <c r="H61" s="532" t="n"/>
      <c r="I61" s="532" t="n"/>
      <c r="J61" s="532" t="n"/>
      <c r="K61" s="532" t="n"/>
      <c r="L61" s="532" t="n"/>
      <c r="M61" s="532" t="n"/>
      <c r="N61" s="532" t="n"/>
      <c r="O61" s="533" t="n"/>
    </row>
  </sheetData>
  <mergeCells count="119">
    <mergeCell ref="C52:F52"/>
    <mergeCell ref="C61:F61"/>
    <mergeCell ref="C39:F39"/>
    <mergeCell ref="G57:O57"/>
    <mergeCell ref="A51:B51"/>
    <mergeCell ref="J27:L27"/>
    <mergeCell ref="J25:L25"/>
    <mergeCell ref="A54:B54"/>
    <mergeCell ref="A41:B41"/>
    <mergeCell ref="G58:O58"/>
    <mergeCell ref="J33:M35"/>
    <mergeCell ref="A56:B56"/>
    <mergeCell ref="J3:L3"/>
    <mergeCell ref="B20:D20"/>
    <mergeCell ref="A42:B42"/>
    <mergeCell ref="G44:O44"/>
    <mergeCell ref="C54:F54"/>
    <mergeCell ref="C41:F41"/>
    <mergeCell ref="G59:O59"/>
    <mergeCell ref="C50:F50"/>
    <mergeCell ref="A53:B53"/>
    <mergeCell ref="J29:L29"/>
    <mergeCell ref="B23:E23"/>
    <mergeCell ref="C56:F56"/>
    <mergeCell ref="C43:F43"/>
    <mergeCell ref="A6:C6"/>
    <mergeCell ref="G61:O61"/>
    <mergeCell ref="G48:O48"/>
    <mergeCell ref="A39:B39"/>
    <mergeCell ref="A48:B48"/>
    <mergeCell ref="G38:O38"/>
    <mergeCell ref="A59:B59"/>
    <mergeCell ref="A45:B45"/>
    <mergeCell ref="B17:D17"/>
    <mergeCell ref="J26:L26"/>
    <mergeCell ref="G49:O49"/>
    <mergeCell ref="A61:B61"/>
    <mergeCell ref="A2:F2"/>
    <mergeCell ref="B19:D19"/>
    <mergeCell ref="J16:L16"/>
    <mergeCell ref="A46:B46"/>
    <mergeCell ref="B25:E25"/>
    <mergeCell ref="J1:M1"/>
    <mergeCell ref="J10:M10"/>
    <mergeCell ref="J2:L2"/>
    <mergeCell ref="A13:C13"/>
    <mergeCell ref="G60:O60"/>
    <mergeCell ref="C40:F40"/>
    <mergeCell ref="J12:K12"/>
    <mergeCell ref="A52:B52"/>
    <mergeCell ref="B21:D21"/>
    <mergeCell ref="G39:O39"/>
    <mergeCell ref="J30:L30"/>
    <mergeCell ref="J6:L6"/>
    <mergeCell ref="A49:B49"/>
    <mergeCell ref="J4:L4"/>
    <mergeCell ref="B24:E24"/>
    <mergeCell ref="A32:G34"/>
    <mergeCell ref="C57:F57"/>
    <mergeCell ref="C53:F53"/>
    <mergeCell ref="A16:E16"/>
    <mergeCell ref="G13:H13"/>
    <mergeCell ref="C58:F58"/>
    <mergeCell ref="G51:O51"/>
    <mergeCell ref="A55:B55"/>
    <mergeCell ref="G54:O54"/>
    <mergeCell ref="C45:F45"/>
    <mergeCell ref="G41:O41"/>
    <mergeCell ref="A57:B57"/>
    <mergeCell ref="G50:O50"/>
    <mergeCell ref="J8:L8"/>
    <mergeCell ref="J17:L17"/>
    <mergeCell ref="B9:C9"/>
    <mergeCell ref="C47:F47"/>
    <mergeCell ref="G56:O56"/>
    <mergeCell ref="G43:O43"/>
    <mergeCell ref="C44:F44"/>
    <mergeCell ref="G52:O52"/>
    <mergeCell ref="A38:B38"/>
    <mergeCell ref="A43:B43"/>
    <mergeCell ref="J19:L19"/>
    <mergeCell ref="B22:D22"/>
    <mergeCell ref="A36:O36"/>
    <mergeCell ref="G42:O42"/>
    <mergeCell ref="C46:F46"/>
    <mergeCell ref="C51:F51"/>
    <mergeCell ref="A40:B40"/>
    <mergeCell ref="C60:F60"/>
    <mergeCell ref="C48:F48"/>
    <mergeCell ref="A60:B60"/>
    <mergeCell ref="A15:E15"/>
    <mergeCell ref="J14:K14"/>
    <mergeCell ref="G53:O53"/>
    <mergeCell ref="C38:F38"/>
    <mergeCell ref="A37:O37"/>
    <mergeCell ref="J20:L20"/>
    <mergeCell ref="J13:K13"/>
    <mergeCell ref="C49:F49"/>
    <mergeCell ref="J22:L22"/>
    <mergeCell ref="A8:C8"/>
    <mergeCell ref="J15:K15"/>
    <mergeCell ref="G45:O45"/>
    <mergeCell ref="J31:L31"/>
    <mergeCell ref="C42:F42"/>
    <mergeCell ref="G55:O55"/>
    <mergeCell ref="J21:L21"/>
    <mergeCell ref="A50:B50"/>
    <mergeCell ref="I14:I15"/>
    <mergeCell ref="G47:O47"/>
    <mergeCell ref="B10:C10"/>
    <mergeCell ref="G46:O46"/>
    <mergeCell ref="J23:L23"/>
    <mergeCell ref="A47:B47"/>
    <mergeCell ref="G40:O40"/>
    <mergeCell ref="C55:F55"/>
    <mergeCell ref="B18:D18"/>
    <mergeCell ref="C59:F59"/>
    <mergeCell ref="A44:B44"/>
    <mergeCell ref="A58:B58"/>
  </mergeCells>
  <pageMargins left="0.7" right="0.7" top="0.75" bottom="0.75" header="0.3" footer="0.3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0ACFCF"/>
    <outlinePr summaryBelow="1" summaryRight="1"/>
    <pageSetUpPr fitToPage="1"/>
  </sheetPr>
  <dimension ref="B1:N42"/>
  <sheetViews>
    <sheetView workbookViewId="0">
      <selection activeCell="A1" sqref="A1"/>
    </sheetView>
  </sheetViews>
  <sheetFormatPr baseColWidth="8" defaultRowHeight="15"/>
  <cols>
    <col width="2" customWidth="1" style="134" min="1" max="1"/>
    <col width="34" customWidth="1" style="134" min="2" max="2"/>
    <col width="14" customWidth="1" style="134" min="3" max="3"/>
    <col width="18" customWidth="1" style="134" min="4" max="4"/>
    <col width="18" customWidth="1" style="134" min="5" max="5"/>
    <col width="34" customWidth="1" style="134" min="6" max="6"/>
    <col width="14" customWidth="1" style="134" min="7" max="7"/>
    <col width="18" customWidth="1" style="134" min="8" max="8"/>
    <col width="18" customWidth="1" style="134" min="9" max="9"/>
    <col width="3" customWidth="1" style="134" min="10" max="10"/>
    <col width="18" customWidth="1" style="134" min="11" max="11"/>
    <col width="18" customWidth="1" style="134" min="12" max="12"/>
    <col width="18" customWidth="1" style="134" min="13" max="13"/>
    <col width="18" customWidth="1" style="134" min="14" max="14"/>
  </cols>
  <sheetData>
    <row r="1" ht="38" customHeight="1" s="134">
      <c r="B1" s="310" t="inlineStr">
        <is>
          <t>ERB : état de rapprochement bancaire</t>
        </is>
      </c>
      <c r="C1" s="534" t="n"/>
      <c r="D1" s="534" t="n"/>
      <c r="E1" s="534" t="n"/>
      <c r="F1" s="534" t="n"/>
      <c r="G1" s="534" t="n"/>
      <c r="H1" s="534" t="n"/>
      <c r="I1" s="535" t="n"/>
    </row>
    <row r="2" ht="28" customHeight="1" s="134">
      <c r="B2" s="313" t="inlineStr">
        <is>
          <t>512 : compte banque (comptabilité)</t>
        </is>
      </c>
      <c r="C2" s="534" t="n"/>
      <c r="D2" s="534" t="n"/>
      <c r="E2" s="535" t="n"/>
      <c r="F2" s="313" t="inlineStr">
        <is>
          <t>Relevé bancaire</t>
        </is>
      </c>
      <c r="G2" s="534" t="n"/>
      <c r="H2" s="534" t="n"/>
      <c r="I2" s="535" t="n"/>
    </row>
    <row r="3" ht="28" customHeight="1" s="134">
      <c r="B3" s="316" t="inlineStr">
        <is>
          <t>Libellé</t>
        </is>
      </c>
      <c r="C3" s="317" t="inlineStr">
        <is>
          <t>Date</t>
        </is>
      </c>
      <c r="D3" s="317" t="inlineStr">
        <is>
          <t>Débit</t>
        </is>
      </c>
      <c r="E3" s="318" t="inlineStr">
        <is>
          <t>Crédit</t>
        </is>
      </c>
      <c r="F3" s="316" t="inlineStr">
        <is>
          <t>Libellé</t>
        </is>
      </c>
      <c r="G3" s="317" t="inlineStr">
        <is>
          <t>Date</t>
        </is>
      </c>
      <c r="H3" s="317" t="inlineStr">
        <is>
          <t>Débit</t>
        </is>
      </c>
      <c r="I3" s="318" t="inlineStr">
        <is>
          <t>Crédit</t>
        </is>
      </c>
    </row>
    <row r="4" ht="25" customHeight="1" s="134">
      <c r="B4" s="319" t="inlineStr">
        <is>
          <t>Solde initial</t>
        </is>
      </c>
      <c r="C4" s="320" t="n"/>
      <c r="D4" s="321" t="n"/>
      <c r="E4" s="322" t="n"/>
      <c r="F4" s="319" t="inlineStr">
        <is>
          <t>Solde initial</t>
        </is>
      </c>
      <c r="G4" s="320" t="n"/>
      <c r="H4" s="321" t="n"/>
      <c r="I4" s="322" t="n"/>
    </row>
    <row r="5" ht="25" customHeight="1" s="134">
      <c r="B5" s="323" t="n"/>
      <c r="C5" s="320" t="n"/>
      <c r="D5" s="321" t="n"/>
      <c r="E5" s="322" t="n"/>
      <c r="F5" s="323" t="n"/>
      <c r="G5" s="320" t="n"/>
      <c r="H5" s="321" t="n"/>
      <c r="I5" s="322" t="n"/>
    </row>
    <row r="6" ht="25" customHeight="1" s="134">
      <c r="B6" s="323" t="n"/>
      <c r="C6" s="320" t="n"/>
      <c r="D6" s="321" t="n"/>
      <c r="E6" s="322" t="n"/>
      <c r="F6" s="323" t="n"/>
      <c r="G6" s="320" t="n"/>
      <c r="H6" s="321" t="n"/>
      <c r="I6" s="322" t="n"/>
    </row>
    <row r="7" ht="25" customHeight="1" s="134">
      <c r="B7" s="323" t="n"/>
      <c r="C7" s="320" t="n"/>
      <c r="D7" s="321" t="n"/>
      <c r="E7" s="322" t="n"/>
      <c r="F7" s="323" t="n"/>
      <c r="G7" s="320" t="n"/>
      <c r="H7" s="321" t="n"/>
      <c r="I7" s="322" t="n"/>
    </row>
    <row r="8" ht="25" customHeight="1" s="134">
      <c r="B8" s="323" t="n"/>
      <c r="C8" s="320" t="n"/>
      <c r="D8" s="321" t="n"/>
      <c r="E8" s="322" t="n"/>
      <c r="F8" s="323" t="n"/>
      <c r="G8" s="320" t="n"/>
      <c r="H8" s="321" t="n"/>
      <c r="I8" s="322" t="n"/>
    </row>
    <row r="9" ht="25" customHeight="1" s="134">
      <c r="B9" s="323" t="n"/>
      <c r="C9" s="320" t="n"/>
      <c r="D9" s="321" t="n"/>
      <c r="E9" s="322" t="n"/>
      <c r="F9" s="323" t="n"/>
      <c r="G9" s="320" t="n"/>
      <c r="H9" s="321" t="n"/>
      <c r="I9" s="322" t="n"/>
    </row>
    <row r="10" ht="25" customHeight="1" s="134">
      <c r="B10" s="323" t="n"/>
      <c r="C10" s="320" t="n"/>
      <c r="D10" s="321" t="n"/>
      <c r="E10" s="322" t="n"/>
      <c r="F10" s="323" t="n"/>
      <c r="G10" s="320" t="n"/>
      <c r="H10" s="321" t="n"/>
      <c r="I10" s="322" t="n"/>
    </row>
    <row r="11" ht="25" customHeight="1" s="134">
      <c r="B11" s="323" t="n"/>
      <c r="C11" s="320" t="n"/>
      <c r="D11" s="321" t="n"/>
      <c r="E11" s="322" t="n"/>
      <c r="F11" s="323" t="n"/>
      <c r="G11" s="320" t="n"/>
      <c r="H11" s="321" t="n"/>
      <c r="I11" s="322" t="n"/>
    </row>
    <row r="12" ht="25" customHeight="1" s="134">
      <c r="B12" s="323" t="n"/>
      <c r="C12" s="320" t="n"/>
      <c r="D12" s="321" t="n"/>
      <c r="E12" s="322" t="n"/>
      <c r="F12" s="323" t="n"/>
      <c r="G12" s="320" t="n"/>
      <c r="H12" s="321" t="n"/>
      <c r="I12" s="322" t="n"/>
    </row>
    <row r="13" ht="25" customHeight="1" s="134">
      <c r="B13" s="323" t="n"/>
      <c r="C13" s="320" t="n"/>
      <c r="D13" s="321" t="n"/>
      <c r="E13" s="322" t="n"/>
      <c r="F13" s="323" t="n"/>
      <c r="G13" s="320" t="n"/>
      <c r="H13" s="321" t="n"/>
      <c r="I13" s="322" t="n"/>
    </row>
    <row r="14" ht="25" customHeight="1" s="134">
      <c r="B14" s="323" t="n"/>
      <c r="C14" s="320" t="n"/>
      <c r="D14" s="321" t="n"/>
      <c r="E14" s="322" t="n"/>
      <c r="F14" s="323" t="n"/>
      <c r="G14" s="320" t="n"/>
      <c r="H14" s="321" t="n"/>
      <c r="I14" s="322" t="n"/>
    </row>
    <row r="15" ht="25" customHeight="1" s="134">
      <c r="B15" s="323" t="n"/>
      <c r="C15" s="320" t="n"/>
      <c r="D15" s="321" t="n"/>
      <c r="E15" s="322" t="n"/>
      <c r="F15" s="323" t="n"/>
      <c r="G15" s="320" t="n"/>
      <c r="H15" s="321" t="n"/>
      <c r="I15" s="322" t="n"/>
    </row>
    <row r="16" ht="25" customHeight="1" s="134">
      <c r="B16" s="323" t="n"/>
      <c r="C16" s="320" t="n"/>
      <c r="D16" s="321" t="n"/>
      <c r="E16" s="322" t="n"/>
      <c r="F16" s="323" t="n"/>
      <c r="G16" s="320" t="n"/>
      <c r="H16" s="321" t="n"/>
      <c r="I16" s="322" t="n"/>
    </row>
    <row r="17" ht="25" customHeight="1" s="134">
      <c r="B17" s="323" t="n"/>
      <c r="C17" s="320" t="n"/>
      <c r="D17" s="321" t="n"/>
      <c r="E17" s="322" t="n"/>
      <c r="F17" s="323" t="n"/>
      <c r="G17" s="320" t="n"/>
      <c r="H17" s="321" t="n"/>
      <c r="I17" s="322" t="n"/>
    </row>
    <row r="18" ht="25" customHeight="1" s="134">
      <c r="B18" s="323" t="n"/>
      <c r="C18" s="320" t="n"/>
      <c r="D18" s="321" t="n"/>
      <c r="E18" s="322" t="n"/>
      <c r="F18" s="323" t="n"/>
      <c r="G18" s="320" t="n"/>
      <c r="H18" s="321" t="n"/>
      <c r="I18" s="322" t="n"/>
    </row>
    <row r="19" ht="28" customHeight="1" s="134">
      <c r="B19" s="324" t="inlineStr">
        <is>
          <t>TOTAL</t>
        </is>
      </c>
      <c r="C19" s="536" t="n"/>
      <c r="D19" s="326">
        <f>SUM(D4:D18)</f>
        <v/>
      </c>
      <c r="E19" s="327">
        <f>SUM(E4:E18)</f>
        <v/>
      </c>
      <c r="F19" s="324" t="inlineStr">
        <is>
          <t>TOTAL</t>
        </is>
      </c>
      <c r="G19" s="536" t="n"/>
      <c r="H19" s="326">
        <f>SUM(H4:H18)</f>
        <v/>
      </c>
      <c r="I19" s="327">
        <f>SUM(I4:I18)</f>
        <v/>
      </c>
    </row>
    <row r="20" ht="28" customHeight="1" s="134">
      <c r="B20" s="324" t="inlineStr">
        <is>
          <t>Solde rapproché</t>
        </is>
      </c>
      <c r="C20" s="536" t="n"/>
      <c r="D20" s="326">
        <f>D19-E19</f>
        <v/>
      </c>
      <c r="E20" s="327" t="n"/>
      <c r="F20" s="324" t="inlineStr">
        <is>
          <t>Solde rapproché</t>
        </is>
      </c>
      <c r="G20" s="536" t="n"/>
      <c r="H20" s="326" t="n"/>
      <c r="I20" s="327">
        <f>I19-H19</f>
        <v/>
      </c>
    </row>
    <row r="21" ht="30" customHeight="1" s="134">
      <c r="B21" s="328" t="inlineStr">
        <is>
          <t>Vérification écart :</t>
        </is>
      </c>
      <c r="C21" s="537" t="n"/>
      <c r="D21" s="537" t="n"/>
      <c r="E21" s="538" t="n"/>
      <c r="F21" s="331">
        <f>ROUND(D20-I20,2)</f>
        <v/>
      </c>
      <c r="G21" s="537" t="n"/>
      <c r="H21" s="537" t="n"/>
      <c r="I21" s="538" t="n"/>
    </row>
    <row r="22" ht="28" customHeight="1" s="134">
      <c r="B22" s="332">
        <f>IF(COUNT(D4:E18,H4:I18)=0,"",IF(F21=0,"Rapprochement équilibré : les deux soldes rapprochés sont égaux.","Écart à rechercher : revoyez les opérations non pointées."))</f>
        <v/>
      </c>
      <c r="C22" s="537" t="n"/>
      <c r="D22" s="537" t="n"/>
      <c r="E22" s="537" t="n"/>
      <c r="F22" s="537" t="n"/>
      <c r="G22" s="537" t="n"/>
      <c r="H22" s="537" t="n"/>
      <c r="I22" s="538" t="n"/>
    </row>
    <row r="24" ht="26" customHeight="1" s="134">
      <c r="B24" s="335" t="inlineStr">
        <is>
          <t>Rappel des calculs</t>
        </is>
      </c>
      <c r="C24" s="534" t="n"/>
      <c r="D24" s="534" t="n"/>
      <c r="E24" s="534" t="n"/>
      <c r="F24" s="534" t="n"/>
      <c r="G24" s="534" t="n"/>
      <c r="H24" s="534" t="n"/>
      <c r="I24" s="535" t="n"/>
    </row>
    <row r="25" ht="24" customHeight="1" s="134">
      <c r="B25" s="338" t="inlineStr">
        <is>
          <t>Compte 512 : ancien solde débiteur + total débit − total crédit.</t>
        </is>
      </c>
      <c r="C25" s="539" t="n"/>
      <c r="D25" s="539" t="n"/>
      <c r="E25" s="539" t="n"/>
      <c r="F25" s="539" t="n"/>
      <c r="G25" s="539" t="n"/>
      <c r="H25" s="539" t="n"/>
      <c r="I25" s="536" t="n"/>
    </row>
    <row r="26" ht="24" customHeight="1" s="134">
      <c r="B26" s="341" t="inlineStr">
        <is>
          <t>Relevé bancaire : ancien solde créditeur + total crédit − total débit.</t>
        </is>
      </c>
      <c r="C26" s="537" t="n"/>
      <c r="D26" s="537" t="n"/>
      <c r="E26" s="537" t="n"/>
      <c r="F26" s="537" t="n"/>
      <c r="G26" s="537" t="n"/>
      <c r="H26" s="537" t="n"/>
      <c r="I26" s="538" t="n"/>
    </row>
    <row r="28">
      <c r="B28" s="344" t="inlineStr">
        <is>
          <t>Méthode en 5 étapes</t>
        </is>
      </c>
    </row>
    <row r="29" ht="21" customHeight="1" s="134">
      <c r="B29" s="200" t="inlineStr">
        <is>
          <t>1. Comparez les soldes initiaux du compte 512 et du relevé. S'ils diffèrent, retrouvez les opérations qui expliquent la différence.</t>
        </is>
      </c>
      <c r="C29" s="532" t="n"/>
      <c r="D29" s="532" t="n"/>
      <c r="E29" s="532" t="n"/>
      <c r="F29" s="532" t="n"/>
      <c r="G29" s="532" t="n"/>
      <c r="H29" s="532" t="n"/>
      <c r="I29" s="532" t="n"/>
      <c r="J29" s="532" t="n"/>
      <c r="K29" s="532" t="n"/>
      <c r="L29" s="532" t="n"/>
      <c r="M29" s="532" t="n"/>
      <c r="N29" s="533" t="n"/>
    </row>
    <row r="30" ht="21" customHeight="1" s="134">
      <c r="B30" s="202" t="inlineStr">
        <is>
          <t>2. Pointez (rayez ou surlignez) les opérations identiques des deux côtés : même montant, même libellé.</t>
        </is>
      </c>
      <c r="C30" s="532" t="n"/>
      <c r="D30" s="532" t="n"/>
      <c r="E30" s="532" t="n"/>
      <c r="F30" s="532" t="n"/>
      <c r="G30" s="532" t="n"/>
      <c r="H30" s="532" t="n"/>
      <c r="I30" s="532" t="n"/>
      <c r="J30" s="532" t="n"/>
      <c r="K30" s="532" t="n"/>
      <c r="L30" s="532" t="n"/>
      <c r="M30" s="532" t="n"/>
      <c r="N30" s="533" t="n"/>
    </row>
    <row r="31" ht="21" customHeight="1" s="134">
      <c r="B31" s="200" t="inlineStr">
        <is>
          <t>3. Reportez dans le tableau les soldes de fin de période.</t>
        </is>
      </c>
      <c r="C31" s="532" t="n"/>
      <c r="D31" s="532" t="n"/>
      <c r="E31" s="532" t="n"/>
      <c r="F31" s="532" t="n"/>
      <c r="G31" s="532" t="n"/>
      <c r="H31" s="532" t="n"/>
      <c r="I31" s="532" t="n"/>
      <c r="J31" s="532" t="n"/>
      <c r="K31" s="532" t="n"/>
      <c r="L31" s="532" t="n"/>
      <c r="M31" s="532" t="n"/>
      <c r="N31" s="533" t="n"/>
    </row>
    <row r="32" ht="36" customHeight="1" s="134">
      <c r="B32" s="202" t="inlineStr">
        <is>
          <t>4. Reportez les opérations non pointées : un montant au crédit du relevé s'enregistre au débit du 512, et inversement ; une opération du 512 absente du relevé (chèque non encaissé...) se reporte côté relevé.</t>
        </is>
      </c>
      <c r="C32" s="532" t="n"/>
      <c r="D32" s="532" t="n"/>
      <c r="E32" s="532" t="n"/>
      <c r="F32" s="532" t="n"/>
      <c r="G32" s="532" t="n"/>
      <c r="H32" s="532" t="n"/>
      <c r="I32" s="532" t="n"/>
      <c r="J32" s="532" t="n"/>
      <c r="K32" s="532" t="n"/>
      <c r="L32" s="532" t="n"/>
      <c r="M32" s="532" t="n"/>
      <c r="N32" s="533" t="n"/>
    </row>
    <row r="33" ht="36" customHeight="1" s="134">
      <c r="B33" s="200" t="inlineStr">
        <is>
          <t>5. Vérifiez que les deux soldes rapprochés sont égaux (écart = 0). Les écritures de régularisation (frais bancaires, impayés, erreurs...) se passent ensuite dans l'onglet Journaux.</t>
        </is>
      </c>
      <c r="C33" s="532" t="n"/>
      <c r="D33" s="532" t="n"/>
      <c r="E33" s="532" t="n"/>
      <c r="F33" s="532" t="n"/>
      <c r="G33" s="532" t="n"/>
      <c r="H33" s="532" t="n"/>
      <c r="I33" s="532" t="n"/>
      <c r="J33" s="532" t="n"/>
      <c r="K33" s="532" t="n"/>
      <c r="L33" s="532" t="n"/>
      <c r="M33" s="532" t="n"/>
      <c r="N33" s="533" t="n"/>
    </row>
    <row r="35" ht="22" customHeight="1" s="134">
      <c r="B35" s="203" t="inlineStr">
        <is>
          <t>Comment ça marche : les formules, cellule par cellule</t>
        </is>
      </c>
      <c r="C35" s="532" t="n"/>
      <c r="D35" s="532" t="n"/>
      <c r="E35" s="532" t="n"/>
      <c r="F35" s="532" t="n"/>
      <c r="G35" s="532" t="n"/>
      <c r="H35" s="532" t="n"/>
      <c r="I35" s="532" t="n"/>
      <c r="J35" s="532" t="n"/>
      <c r="K35" s="532" t="n"/>
      <c r="L35" s="532" t="n"/>
      <c r="M35" s="532" t="n"/>
      <c r="N35" s="533" t="n"/>
    </row>
    <row r="36" ht="21" customHeight="1" s="134">
      <c r="B36" s="309" t="inlineStr">
        <is>
          <t>Cellules jaunes : libellés, dates et montants à saisir. Cellules turquoise pâle : calculées automatiquement.</t>
        </is>
      </c>
      <c r="C36" s="532" t="n"/>
      <c r="D36" s="532" t="n"/>
      <c r="E36" s="532" t="n"/>
      <c r="F36" s="532" t="n"/>
      <c r="G36" s="532" t="n"/>
      <c r="H36" s="532" t="n"/>
      <c r="I36" s="532" t="n"/>
      <c r="J36" s="532" t="n"/>
      <c r="K36" s="532" t="n"/>
      <c r="L36" s="532" t="n"/>
      <c r="M36" s="532" t="n"/>
      <c r="N36" s="533" t="n"/>
    </row>
    <row r="37">
      <c r="B37" s="204" t="inlineStr">
        <is>
          <t>Cellule(s)</t>
        </is>
      </c>
      <c r="C37" s="533" t="n"/>
      <c r="D37" s="204" t="inlineStr">
        <is>
          <t>Formule (Excel en français)</t>
        </is>
      </c>
      <c r="E37" s="532" t="n"/>
      <c r="F37" s="533" t="n"/>
      <c r="G37" s="204" t="inlineStr">
        <is>
          <t>Ce qu'elle fait</t>
        </is>
      </c>
      <c r="H37" s="532" t="n"/>
      <c r="I37" s="532" t="n"/>
      <c r="J37" s="532" t="n"/>
      <c r="K37" s="532" t="n"/>
      <c r="L37" s="532" t="n"/>
      <c r="M37" s="532" t="n"/>
      <c r="N37" s="533" t="n"/>
    </row>
    <row r="38" ht="19" customHeight="1" s="134">
      <c r="B38" s="205" t="inlineStr">
        <is>
          <t>D19 · E19 · H19 · I19</t>
        </is>
      </c>
      <c r="C38" s="533" t="n"/>
      <c r="D38" s="206" t="inlineStr">
        <is>
          <t>=SOMME(D4:D18)  (idem E, H, I)</t>
        </is>
      </c>
      <c r="E38" s="532" t="n"/>
      <c r="F38" s="533" t="n"/>
      <c r="G38" s="200" t="inlineStr">
        <is>
          <t>Totaux des colonnes débit et crédit de chaque côté, solde initial compris.</t>
        </is>
      </c>
      <c r="H38" s="532" t="n"/>
      <c r="I38" s="532" t="n"/>
      <c r="J38" s="532" t="n"/>
      <c r="K38" s="532" t="n"/>
      <c r="L38" s="532" t="n"/>
      <c r="M38" s="532" t="n"/>
      <c r="N38" s="533" t="n"/>
    </row>
    <row r="39" ht="19" customHeight="1" s="134">
      <c r="B39" s="207" t="inlineStr">
        <is>
          <t>D20</t>
        </is>
      </c>
      <c r="C39" s="533" t="n"/>
      <c r="D39" s="208" t="inlineStr">
        <is>
          <t>=D19-E19</t>
        </is>
      </c>
      <c r="E39" s="532" t="n"/>
      <c r="F39" s="533" t="n"/>
      <c r="G39" s="202" t="inlineStr">
        <is>
          <t>Solde rapproché du compte 512 : total débit − total crédit.</t>
        </is>
      </c>
      <c r="H39" s="532" t="n"/>
      <c r="I39" s="532" t="n"/>
      <c r="J39" s="532" t="n"/>
      <c r="K39" s="532" t="n"/>
      <c r="L39" s="532" t="n"/>
      <c r="M39" s="532" t="n"/>
      <c r="N39" s="533" t="n"/>
    </row>
    <row r="40" ht="19" customHeight="1" s="134">
      <c r="B40" s="205" t="inlineStr">
        <is>
          <t>I20</t>
        </is>
      </c>
      <c r="C40" s="533" t="n"/>
      <c r="D40" s="206" t="inlineStr">
        <is>
          <t>=I19-H19</t>
        </is>
      </c>
      <c r="E40" s="532" t="n"/>
      <c r="F40" s="533" t="n"/>
      <c r="G40" s="200" t="inlineStr">
        <is>
          <t>Solde rapproché du relevé bancaire : total crédit − total débit (le relevé est le miroir du 512).</t>
        </is>
      </c>
      <c r="H40" s="532" t="n"/>
      <c r="I40" s="532" t="n"/>
      <c r="J40" s="532" t="n"/>
      <c r="K40" s="532" t="n"/>
      <c r="L40" s="532" t="n"/>
      <c r="M40" s="532" t="n"/>
      <c r="N40" s="533" t="n"/>
    </row>
    <row r="41" ht="34" customHeight="1" s="134">
      <c r="B41" s="207" t="inlineStr">
        <is>
          <t>F21</t>
        </is>
      </c>
      <c r="C41" s="533" t="n"/>
      <c r="D41" s="208" t="inlineStr">
        <is>
          <t>=ARRONDI(D20-I20;2)</t>
        </is>
      </c>
      <c r="E41" s="532" t="n"/>
      <c r="F41" s="533" t="n"/>
      <c r="G41" s="202" t="inlineStr">
        <is>
          <t>Écart entre les deux soldes rapprochés. 0 signifie que le rapprochement est équilibré (la cellule passe au turquoise ; elle devient rouge s'il reste un écart).</t>
        </is>
      </c>
      <c r="H41" s="532" t="n"/>
      <c r="I41" s="532" t="n"/>
      <c r="J41" s="532" t="n"/>
      <c r="K41" s="532" t="n"/>
      <c r="L41" s="532" t="n"/>
      <c r="M41" s="532" t="n"/>
      <c r="N41" s="533" t="n"/>
    </row>
    <row r="42" ht="34" customHeight="1" s="134">
      <c r="B42" s="205" t="inlineStr">
        <is>
          <t>B22</t>
        </is>
      </c>
      <c r="C42" s="533" t="n"/>
      <c r="D42" s="206" t="inlineStr">
        <is>
          <t>=SI(NB(D4:E18;H4:I18)=0;"";SI(F21=0;"Rapprochement équilibré…";"Écart à rechercher…"))</t>
        </is>
      </c>
      <c r="E42" s="532" t="n"/>
      <c r="F42" s="533" t="n"/>
      <c r="G42" s="200" t="inlineStr">
        <is>
          <t>Message de contrôle : il apparaît dès qu'au moins un montant est saisi.</t>
        </is>
      </c>
      <c r="H42" s="532" t="n"/>
      <c r="I42" s="532" t="n"/>
      <c r="J42" s="532" t="n"/>
      <c r="K42" s="532" t="n"/>
      <c r="L42" s="532" t="n"/>
      <c r="M42" s="532" t="n"/>
      <c r="N42" s="533" t="n"/>
    </row>
  </sheetData>
  <mergeCells count="39">
    <mergeCell ref="B25:I25"/>
    <mergeCell ref="D41:F41"/>
    <mergeCell ref="F19:G19"/>
    <mergeCell ref="B22:I22"/>
    <mergeCell ref="B30:N30"/>
    <mergeCell ref="G42:N42"/>
    <mergeCell ref="B33:N33"/>
    <mergeCell ref="G39:N39"/>
    <mergeCell ref="B39:C39"/>
    <mergeCell ref="B36:N36"/>
    <mergeCell ref="D37:F37"/>
    <mergeCell ref="B32:N32"/>
    <mergeCell ref="B35:N35"/>
    <mergeCell ref="F20:G20"/>
    <mergeCell ref="B42:C42"/>
    <mergeCell ref="G38:N38"/>
    <mergeCell ref="D39:F39"/>
    <mergeCell ref="G37:N37"/>
    <mergeCell ref="B1:I1"/>
    <mergeCell ref="D42:F42"/>
    <mergeCell ref="D38:F38"/>
    <mergeCell ref="B38:C38"/>
    <mergeCell ref="B31:N31"/>
    <mergeCell ref="B26:I26"/>
    <mergeCell ref="B19:C19"/>
    <mergeCell ref="B37:C37"/>
    <mergeCell ref="B21:E21"/>
    <mergeCell ref="F21:I21"/>
    <mergeCell ref="B2:E2"/>
    <mergeCell ref="B40:C40"/>
    <mergeCell ref="B24:I24"/>
    <mergeCell ref="B20:C20"/>
    <mergeCell ref="F2:I2"/>
    <mergeCell ref="D40:F40"/>
    <mergeCell ref="G41:N41"/>
    <mergeCell ref="B29:N29"/>
    <mergeCell ref="B41:C41"/>
    <mergeCell ref="G40:N40"/>
    <mergeCell ref="B28:N28"/>
  </mergeCells>
  <conditionalFormatting sqref="F21">
    <cfRule type="cellIs" priority="1" operator="notEqual" dxfId="0">
      <formula>0</formula>
    </cfRule>
    <cfRule type="cellIs" priority="2" operator="equal" dxfId="1">
      <formula>0</formula>
    </cfRule>
  </conditionalFormatting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tabColor rgb="000ACFCF"/>
    <outlinePr summaryBelow="1" summaryRight="1"/>
    <pageSetUpPr fitToPage="1"/>
  </sheetPr>
  <dimension ref="A1:J39"/>
  <sheetViews>
    <sheetView topLeftCell="A7" workbookViewId="0">
      <selection activeCell="D8" sqref="D8"/>
    </sheetView>
  </sheetViews>
  <sheetFormatPr baseColWidth="10" defaultColWidth="8.7265625" defaultRowHeight="14.5"/>
  <cols>
    <col width="38" customWidth="1" style="134" min="1" max="1"/>
    <col width="18" customWidth="1" style="134" min="2" max="2"/>
    <col width="12" customWidth="1" style="134" min="3" max="3"/>
    <col width="18" customWidth="1" style="134" min="4" max="4"/>
    <col width="22" customWidth="1" style="134" min="5" max="5"/>
    <col width="18" customWidth="1" style="134" min="6" max="6"/>
    <col width="13" customWidth="1" style="134" min="7" max="7"/>
    <col width="13" customWidth="1" style="134" min="8" max="8"/>
    <col width="13" customWidth="1" style="134" min="9" max="9"/>
    <col width="13" customWidth="1" style="134" min="10" max="10"/>
  </cols>
  <sheetData>
    <row r="1" ht="18.5" customHeight="1" s="134">
      <c r="A1" s="77" t="inlineStr">
        <is>
          <t>Trame d'amortissement linéaire</t>
        </is>
      </c>
    </row>
    <row r="2">
      <c r="A2" s="78" t="inlineStr">
        <is>
          <t>Complétez les cellules jaunes : le tableau se calcule automatiquement (prorata temporis en jours sur 360, année N).</t>
        </is>
      </c>
    </row>
    <row r="4" ht="21" customHeight="1" s="134">
      <c r="A4" s="345" t="inlineStr">
        <is>
          <t>Nature de l'immobilisation</t>
        </is>
      </c>
      <c r="B4" s="346" t="n"/>
    </row>
    <row r="5" ht="21" customHeight="1" s="134">
      <c r="A5" s="347" t="inlineStr">
        <is>
          <t>Date de mise en service</t>
        </is>
      </c>
      <c r="B5" s="348" t="n"/>
    </row>
    <row r="6" ht="21" customHeight="1" s="134">
      <c r="A6" s="347" t="inlineStr">
        <is>
          <t>Coût d'acquisition HT</t>
        </is>
      </c>
      <c r="B6" s="349" t="n"/>
    </row>
    <row r="7" ht="21" customHeight="1" s="134">
      <c r="A7" s="347" t="inlineStr">
        <is>
          <t>Valeur résiduelle</t>
        </is>
      </c>
      <c r="B7" s="349" t="n"/>
    </row>
    <row r="8" ht="21" customHeight="1" s="134">
      <c r="A8" s="350" t="inlineStr">
        <is>
          <t>Durée d'utilisation (années)</t>
        </is>
      </c>
      <c r="B8" s="351" t="n"/>
    </row>
    <row r="9" ht="21" customHeight="1" s="134">
      <c r="A9" s="345" t="inlineStr">
        <is>
          <t>Base amortissable</t>
        </is>
      </c>
      <c r="B9" s="352">
        <f>IF(B6="","",B6-N(B7))</f>
        <v/>
      </c>
    </row>
    <row r="10" ht="21" customHeight="1" s="134">
      <c r="A10" s="347" t="inlineStr">
        <is>
          <t>Taux linéaire</t>
        </is>
      </c>
      <c r="B10" s="353">
        <f>IF(B8="","",1/B8)</f>
        <v/>
      </c>
    </row>
    <row r="11" ht="21" customHeight="1" s="134">
      <c r="A11" s="350" t="inlineStr">
        <is>
          <t>Jours à amortir en année N (base 360)</t>
        </is>
      </c>
      <c r="B11" s="354">
        <f>IF(B5="","",DAYS360(B5,DATE(YEAR(B5),12,30))+1)</f>
        <v/>
      </c>
    </row>
    <row r="13" ht="36" customHeight="1" s="134">
      <c r="A13" s="355" t="inlineStr">
        <is>
          <t>Année</t>
        </is>
      </c>
      <c r="B13" s="356" t="inlineStr">
        <is>
          <t>VNC début</t>
        </is>
      </c>
      <c r="C13" s="356" t="inlineStr">
        <is>
          <t>Taux</t>
        </is>
      </c>
      <c r="D13" s="356" t="inlineStr">
        <is>
          <t>Annuité</t>
        </is>
      </c>
      <c r="E13" s="356" t="inlineStr">
        <is>
          <t>Cumul des annuités</t>
        </is>
      </c>
      <c r="F13" s="357" t="inlineStr">
        <is>
          <t>VNC fin</t>
        </is>
      </c>
    </row>
    <row r="14" ht="21" customHeight="1" s="134">
      <c r="A14" s="358" t="inlineStr">
        <is>
          <t>N</t>
        </is>
      </c>
      <c r="B14" s="359">
        <f>IF(OR($B$9="",$B$8="",$B$11="",0&gt;$B$8),"",$B$6)</f>
        <v/>
      </c>
      <c r="C14" s="360">
        <f>IF(OR($B$9="",$B$8="",$B$11="",0&gt;$B$8),"",$B$10)</f>
        <v/>
      </c>
      <c r="D14" s="359">
        <f>IF(OR($B$9="",$B$8="",$B$11="",0&gt;$B$8),"",$B$9/$B$8*$B$11/360)</f>
        <v/>
      </c>
      <c r="E14" s="359">
        <f>IF(OR($B$9="",$B$8="",$B$11="",0&gt;$B$8),"",D14)</f>
        <v/>
      </c>
      <c r="F14" s="361">
        <f>IF(OR($B$9="",$B$8="",$B$11="",0&gt;$B$8),"",$B$6-E14)</f>
        <v/>
      </c>
    </row>
    <row r="15" ht="21" customHeight="1" s="134">
      <c r="A15" s="362" t="inlineStr">
        <is>
          <t>N+1</t>
        </is>
      </c>
      <c r="B15" s="363">
        <f>IF(OR($B$9="",$B$8="",$B$11="",1&gt;$B$8),"",$B$6)</f>
        <v/>
      </c>
      <c r="C15" s="364">
        <f>IF(OR($B$9="",$B$8="",$B$11="",1&gt;$B$8),"",$B$10)</f>
        <v/>
      </c>
      <c r="D15" s="363">
        <f>IF(OR($B$9="",$B$8="",$B$11="",1&gt;$B$8),"",IF(1=$B$8,$B$9-E14,$B$9/$B$8))</f>
        <v/>
      </c>
      <c r="E15" s="363">
        <f>IF(OR($B$9="",$B$8="",$B$11="",1&gt;$B$8),"",E14+D15)</f>
        <v/>
      </c>
      <c r="F15" s="365">
        <f>IF(OR($B$9="",$B$8="",$B$11="",1&gt;$B$8),"",$B$6-E15)</f>
        <v/>
      </c>
    </row>
    <row r="16" ht="21" customHeight="1" s="134">
      <c r="A16" s="358" t="inlineStr">
        <is>
          <t>N+2</t>
        </is>
      </c>
      <c r="B16" s="359">
        <f>IF(OR($B$9="",$B$8="",$B$11="",2&gt;$B$8),"",$B$6)</f>
        <v/>
      </c>
      <c r="C16" s="360">
        <f>IF(OR($B$9="",$B$8="",$B$11="",2&gt;$B$8),"",$B$10)</f>
        <v/>
      </c>
      <c r="D16" s="359">
        <f>IF(OR($B$9="",$B$8="",$B$11="",2&gt;$B$8),"",IF(2=$B$8,$B$9-E15,$B$9/$B$8))</f>
        <v/>
      </c>
      <c r="E16" s="359">
        <f>IF(OR($B$9="",$B$8="",$B$11="",2&gt;$B$8),"",E15+D16)</f>
        <v/>
      </c>
      <c r="F16" s="361">
        <f>IF(OR($B$9="",$B$8="",$B$11="",2&gt;$B$8),"",$B$6-E16)</f>
        <v/>
      </c>
    </row>
    <row r="17" ht="21" customHeight="1" s="134">
      <c r="A17" s="362" t="inlineStr">
        <is>
          <t>N+3</t>
        </is>
      </c>
      <c r="B17" s="363">
        <f>IF(OR($B$9="",$B$8="",$B$11="",3&gt;$B$8),"",$B$6)</f>
        <v/>
      </c>
      <c r="C17" s="364">
        <f>IF(OR($B$9="",$B$8="",$B$11="",3&gt;$B$8),"",$B$10)</f>
        <v/>
      </c>
      <c r="D17" s="363">
        <f>IF(OR($B$9="",$B$8="",$B$11="",3&gt;$B$8),"",IF(3=$B$8,$B$9-E16,$B$9/$B$8))</f>
        <v/>
      </c>
      <c r="E17" s="363">
        <f>IF(OR($B$9="",$B$8="",$B$11="",3&gt;$B$8),"",E16+D17)</f>
        <v/>
      </c>
      <c r="F17" s="365">
        <f>IF(OR($B$9="",$B$8="",$B$11="",3&gt;$B$8),"",$B$6-E17)</f>
        <v/>
      </c>
    </row>
    <row r="18" ht="21" customHeight="1" s="134">
      <c r="A18" s="358" t="inlineStr">
        <is>
          <t>N+4</t>
        </is>
      </c>
      <c r="B18" s="359">
        <f>IF(OR($B$9="",$B$8="",$B$11="",4&gt;$B$8),"",$B$6)</f>
        <v/>
      </c>
      <c r="C18" s="360">
        <f>IF(OR($B$9="",$B$8="",$B$11="",4&gt;$B$8),"",$B$10)</f>
        <v/>
      </c>
      <c r="D18" s="359">
        <f>IF(OR($B$9="",$B$8="",$B$11="",4&gt;$B$8),"",IF(4=$B$8,$B$9-E17,$B$9/$B$8))</f>
        <v/>
      </c>
      <c r="E18" s="359">
        <f>IF(OR($B$9="",$B$8="",$B$11="",4&gt;$B$8),"",E17+D18)</f>
        <v/>
      </c>
      <c r="F18" s="361">
        <f>IF(OR($B$9="",$B$8="",$B$11="",4&gt;$B$8),"",$B$6-E18)</f>
        <v/>
      </c>
    </row>
    <row r="19" ht="21" customHeight="1" s="134">
      <c r="A19" s="362" t="inlineStr">
        <is>
          <t>N+5</t>
        </is>
      </c>
      <c r="B19" s="363">
        <f>IF(OR($B$9="",$B$8="",$B$11="",5&gt;$B$8),"",$B$6)</f>
        <v/>
      </c>
      <c r="C19" s="364">
        <f>IF(OR($B$9="",$B$8="",$B$11="",5&gt;$B$8),"",$B$10)</f>
        <v/>
      </c>
      <c r="D19" s="363">
        <f>IF(OR($B$9="",$B$8="",$B$11="",5&gt;$B$8),"",IF(5=$B$8,$B$9-E18,$B$9/$B$8))</f>
        <v/>
      </c>
      <c r="E19" s="363">
        <f>IF(OR($B$9="",$B$8="",$B$11="",5&gt;$B$8),"",E18+D19)</f>
        <v/>
      </c>
      <c r="F19" s="365">
        <f>IF(OR($B$9="",$B$8="",$B$11="",5&gt;$B$8),"",$B$6-E19)</f>
        <v/>
      </c>
    </row>
    <row r="20" ht="21" customHeight="1" s="134">
      <c r="A20" s="358" t="inlineStr">
        <is>
          <t>N+6</t>
        </is>
      </c>
      <c r="B20" s="359">
        <f>IF(OR($B$9="",$B$8="",$B$11="",6&gt;$B$8),"",$B$6)</f>
        <v/>
      </c>
      <c r="C20" s="360">
        <f>IF(OR($B$9="",$B$8="",$B$11="",6&gt;$B$8),"",$B$10)</f>
        <v/>
      </c>
      <c r="D20" s="359">
        <f>IF(OR($B$9="",$B$8="",$B$11="",6&gt;$B$8),"",IF(6=$B$8,$B$9-E19,$B$9/$B$8))</f>
        <v/>
      </c>
      <c r="E20" s="359">
        <f>IF(OR($B$9="",$B$8="",$B$11="",6&gt;$B$8),"",E19+D20)</f>
        <v/>
      </c>
      <c r="F20" s="361">
        <f>IF(OR($B$9="",$B$8="",$B$11="",6&gt;$B$8),"",$B$6-E20)</f>
        <v/>
      </c>
    </row>
    <row r="21" ht="21" customHeight="1" s="134">
      <c r="A21" s="362" t="inlineStr">
        <is>
          <t>N+7</t>
        </is>
      </c>
      <c r="B21" s="363">
        <f>IF(OR($B$9="",$B$8="",$B$11="",7&gt;$B$8),"",$B$6)</f>
        <v/>
      </c>
      <c r="C21" s="364">
        <f>IF(OR($B$9="",$B$8="",$B$11="",7&gt;$B$8),"",$B$10)</f>
        <v/>
      </c>
      <c r="D21" s="363">
        <f>IF(OR($B$9="",$B$8="",$B$11="",7&gt;$B$8),"",IF(7=$B$8,$B$9-E20,$B$9/$B$8))</f>
        <v/>
      </c>
      <c r="E21" s="363">
        <f>IF(OR($B$9="",$B$8="",$B$11="",7&gt;$B$8),"",E20+D21)</f>
        <v/>
      </c>
      <c r="F21" s="365">
        <f>IF(OR($B$9="",$B$8="",$B$11="",7&gt;$B$8),"",$B$6-E21)</f>
        <v/>
      </c>
    </row>
    <row r="22" ht="21" customHeight="1" s="134">
      <c r="A22" s="358" t="inlineStr">
        <is>
          <t>N+8</t>
        </is>
      </c>
      <c r="B22" s="359">
        <f>IF(OR($B$9="",$B$8="",$B$11="",8&gt;$B$8),"",$B$6)</f>
        <v/>
      </c>
      <c r="C22" s="360">
        <f>IF(OR($B$9="",$B$8="",$B$11="",8&gt;$B$8),"",$B$10)</f>
        <v/>
      </c>
      <c r="D22" s="359">
        <f>IF(OR($B$9="",$B$8="",$B$11="",8&gt;$B$8),"",IF(8=$B$8,$B$9-E21,$B$9/$B$8))</f>
        <v/>
      </c>
      <c r="E22" s="359">
        <f>IF(OR($B$9="",$B$8="",$B$11="",8&gt;$B$8),"",E21+D22)</f>
        <v/>
      </c>
      <c r="F22" s="361">
        <f>IF(OR($B$9="",$B$8="",$B$11="",8&gt;$B$8),"",$B$6-E22)</f>
        <v/>
      </c>
    </row>
    <row r="23" ht="21" customHeight="1" s="134">
      <c r="A23" s="362" t="inlineStr">
        <is>
          <t>N+9</t>
        </is>
      </c>
      <c r="B23" s="363">
        <f>IF(OR($B$9="",$B$8="",$B$11="",9&gt;$B$8),"",$B$6)</f>
        <v/>
      </c>
      <c r="C23" s="364">
        <f>IF(OR($B$9="",$B$8="",$B$11="",9&gt;$B$8),"",$B$10)</f>
        <v/>
      </c>
      <c r="D23" s="363">
        <f>IF(OR($B$9="",$B$8="",$B$11="",9&gt;$B$8),"",IF(9=$B$8,$B$9-E22,$B$9/$B$8))</f>
        <v/>
      </c>
      <c r="E23" s="363">
        <f>IF(OR($B$9="",$B$8="",$B$11="",9&gt;$B$8),"",E22+D23)</f>
        <v/>
      </c>
      <c r="F23" s="365">
        <f>IF(OR($B$9="",$B$8="",$B$11="",9&gt;$B$8),"",$B$6-E23)</f>
        <v/>
      </c>
    </row>
    <row r="24" ht="21" customHeight="1" s="134">
      <c r="A24" s="366" t="inlineStr">
        <is>
          <t>N+10</t>
        </is>
      </c>
      <c r="B24" s="367">
        <f>IF(OR($B$9="",$B$8="",$B$11="",10&gt;$B$8),"",$B$6)</f>
        <v/>
      </c>
      <c r="C24" s="368">
        <f>IF(OR($B$9="",$B$8="",$B$11="",10&gt;$B$8),"",$B$10)</f>
        <v/>
      </c>
      <c r="D24" s="367">
        <f>IF(OR($B$9="",$B$8="",$B$11="",10&gt;$B$8),"",IF(10=$B$8,$B$9-E23,$B$9/$B$8))</f>
        <v/>
      </c>
      <c r="E24" s="367">
        <f>IF(OR($B$9="",$B$8="",$B$11="",10&gt;$B$8),"",E23+D24)</f>
        <v/>
      </c>
      <c r="F24" s="369">
        <f>IF(OR($B$9="",$B$8="",$B$11="",10&gt;$B$8),"",$B$6-E24)</f>
        <v/>
      </c>
    </row>
    <row r="26">
      <c r="A26" s="78" t="inlineStr">
        <is>
          <t>Rappel : annuité = base amortissable / durée ; VNC fin = coût d'acquisition - cumul des annuités.</t>
        </is>
      </c>
    </row>
    <row r="28" ht="22" customHeight="1" s="134">
      <c r="A28" s="203" t="inlineStr">
        <is>
          <t>Comment ça marche : les formules, cellule par cellule</t>
        </is>
      </c>
      <c r="B28" s="532" t="n"/>
      <c r="C28" s="532" t="n"/>
      <c r="D28" s="532" t="n"/>
      <c r="E28" s="532" t="n"/>
      <c r="F28" s="532" t="n"/>
      <c r="G28" s="532" t="n"/>
      <c r="H28" s="532" t="n"/>
      <c r="I28" s="532" t="n"/>
      <c r="J28" s="533" t="n"/>
    </row>
    <row r="29" ht="21" customHeight="1" s="134">
      <c r="A29" s="309" t="inlineStr">
        <is>
          <t>Cellules jaunes : nature, date de mise en service, coût, valeur résiduelle et durée à saisir. Le tableau se remplit dès que la date, le coût et la durée sont renseignés.</t>
        </is>
      </c>
      <c r="B29" s="532" t="n"/>
      <c r="C29" s="532" t="n"/>
      <c r="D29" s="532" t="n"/>
      <c r="E29" s="532" t="n"/>
      <c r="F29" s="532" t="n"/>
      <c r="G29" s="532" t="n"/>
      <c r="H29" s="532" t="n"/>
      <c r="I29" s="532" t="n"/>
      <c r="J29" s="533" t="n"/>
    </row>
    <row r="30">
      <c r="A30" s="204" t="inlineStr">
        <is>
          <t>Cellule(s)</t>
        </is>
      </c>
      <c r="B30" s="204" t="inlineStr">
        <is>
          <t>Formule (Excel en français)</t>
        </is>
      </c>
      <c r="C30" s="532" t="n"/>
      <c r="D30" s="533" t="n"/>
      <c r="E30" s="204" t="inlineStr">
        <is>
          <t>Ce qu'elle fait</t>
        </is>
      </c>
      <c r="F30" s="532" t="n"/>
      <c r="G30" s="532" t="n"/>
      <c r="H30" s="532" t="n"/>
      <c r="I30" s="532" t="n"/>
      <c r="J30" s="533" t="n"/>
    </row>
    <row r="31" ht="19" customHeight="1" s="134">
      <c r="A31" s="205" t="inlineStr">
        <is>
          <t>B9</t>
        </is>
      </c>
      <c r="B31" s="206" t="inlineStr">
        <is>
          <t>=B6-B7</t>
        </is>
      </c>
      <c r="C31" s="532" t="n"/>
      <c r="D31" s="533" t="n"/>
      <c r="E31" s="200" t="inlineStr">
        <is>
          <t>Base amortissable : coût d'acquisition moins valeur résiduelle.</t>
        </is>
      </c>
      <c r="F31" s="532" t="n"/>
      <c r="G31" s="532" t="n"/>
      <c r="H31" s="532" t="n"/>
      <c r="I31" s="532" t="n"/>
      <c r="J31" s="533" t="n"/>
    </row>
    <row r="32" ht="19" customHeight="1" s="134">
      <c r="A32" s="207" t="inlineStr">
        <is>
          <t>B10</t>
        </is>
      </c>
      <c r="B32" s="208" t="inlineStr">
        <is>
          <t>=1/B8</t>
        </is>
      </c>
      <c r="C32" s="532" t="n"/>
      <c r="D32" s="533" t="n"/>
      <c r="E32" s="202" t="inlineStr">
        <is>
          <t>Taux linéaire : 1 divisé par la durée d'utilisation.</t>
        </is>
      </c>
      <c r="F32" s="532" t="n"/>
      <c r="G32" s="532" t="n"/>
      <c r="H32" s="532" t="n"/>
      <c r="I32" s="532" t="n"/>
      <c r="J32" s="533" t="n"/>
    </row>
    <row r="33" ht="34" customHeight="1" s="134">
      <c r="A33" s="205" t="inlineStr">
        <is>
          <t>B11</t>
        </is>
      </c>
      <c r="B33" s="206" t="inlineStr">
        <is>
          <t>=JOURS360(B5;DATE(ANNEE(B5);12;30))+1</t>
        </is>
      </c>
      <c r="C33" s="532" t="n"/>
      <c r="D33" s="533" t="n"/>
      <c r="E33" s="200" t="inlineStr">
        <is>
          <t>Jours à amortir la première année : de la mise en service au 31 décembre, en mois de 30 jours (base 360).</t>
        </is>
      </c>
      <c r="F33" s="532" t="n"/>
      <c r="G33" s="532" t="n"/>
      <c r="H33" s="532" t="n"/>
      <c r="I33" s="532" t="n"/>
      <c r="J33" s="533" t="n"/>
    </row>
    <row r="34" ht="19" customHeight="1" s="134">
      <c r="A34" s="207" t="inlineStr">
        <is>
          <t>B14:B24</t>
        </is>
      </c>
      <c r="B34" s="208" t="inlineStr">
        <is>
          <t>=$B$6</t>
        </is>
      </c>
      <c r="C34" s="532" t="n"/>
      <c r="D34" s="533" t="n"/>
      <c r="E34" s="202" t="inlineStr">
        <is>
          <t>Colonne VNC début : reprend le coût d'acquisition, base de calcul de chaque ligne.</t>
        </is>
      </c>
      <c r="F34" s="532" t="n"/>
      <c r="G34" s="532" t="n"/>
      <c r="H34" s="532" t="n"/>
      <c r="I34" s="532" t="n"/>
      <c r="J34" s="533" t="n"/>
    </row>
    <row r="35" ht="19" customHeight="1" s="134">
      <c r="A35" s="205" t="inlineStr">
        <is>
          <t>C14:C24</t>
        </is>
      </c>
      <c r="B35" s="206" t="inlineStr">
        <is>
          <t>=$B$10</t>
        </is>
      </c>
      <c r="C35" s="532" t="n"/>
      <c r="D35" s="533" t="n"/>
      <c r="E35" s="200" t="inlineStr">
        <is>
          <t>Taux linéaire repris sur chaque ligne.</t>
        </is>
      </c>
      <c r="F35" s="532" t="n"/>
      <c r="G35" s="532" t="n"/>
      <c r="H35" s="532" t="n"/>
      <c r="I35" s="532" t="n"/>
      <c r="J35" s="533" t="n"/>
    </row>
    <row r="36" ht="19" customHeight="1" s="134">
      <c r="A36" s="207" t="inlineStr">
        <is>
          <t>D14 (année N)</t>
        </is>
      </c>
      <c r="B36" s="208" t="inlineStr">
        <is>
          <t>=B9/B8*B11/360</t>
        </is>
      </c>
      <c r="C36" s="532" t="n"/>
      <c r="D36" s="533" t="n"/>
      <c r="E36" s="202" t="inlineStr">
        <is>
          <t>Première annuité : annuité pleine × jours à amortir / 360 (prorata temporis).</t>
        </is>
      </c>
      <c r="F36" s="532" t="n"/>
      <c r="G36" s="532" t="n"/>
      <c r="H36" s="532" t="n"/>
      <c r="I36" s="532" t="n"/>
      <c r="J36" s="533" t="n"/>
    </row>
    <row r="37" ht="34" customHeight="1" s="134">
      <c r="A37" s="205" t="inlineStr">
        <is>
          <t>D15:D24</t>
        </is>
      </c>
      <c r="B37" s="206" t="inlineStr">
        <is>
          <t>=SI(n=durée;B9-cumul précédent;B9/B8)</t>
        </is>
      </c>
      <c r="C37" s="532" t="n"/>
      <c r="D37" s="533" t="n"/>
      <c r="E37" s="200" t="inlineStr">
        <is>
          <t>Annuité pleine chaque année ; l'année N + durée, elle reprend le solde restant. Les lignes au-delà restent vides.</t>
        </is>
      </c>
      <c r="F37" s="532" t="n"/>
      <c r="G37" s="532" t="n"/>
      <c r="H37" s="532" t="n"/>
      <c r="I37" s="532" t="n"/>
      <c r="J37" s="533" t="n"/>
    </row>
    <row r="38" ht="19" customHeight="1" s="134">
      <c r="A38" s="207" t="inlineStr">
        <is>
          <t>E14 · E15:E24</t>
        </is>
      </c>
      <c r="B38" s="208" t="inlineStr">
        <is>
          <t>=D14   puis   =E14+D15</t>
        </is>
      </c>
      <c r="C38" s="532" t="n"/>
      <c r="D38" s="533" t="n"/>
      <c r="E38" s="202" t="inlineStr">
        <is>
          <t>Cumul des annuités : année N, puis cumul précédent + annuité de l'année.</t>
        </is>
      </c>
      <c r="F38" s="532" t="n"/>
      <c r="G38" s="532" t="n"/>
      <c r="H38" s="532" t="n"/>
      <c r="I38" s="532" t="n"/>
      <c r="J38" s="533" t="n"/>
    </row>
    <row r="39" ht="19" customHeight="1" s="134">
      <c r="A39" s="205" t="inlineStr">
        <is>
          <t>F14:F24</t>
        </is>
      </c>
      <c r="B39" s="206" t="inlineStr">
        <is>
          <t>=$B$6-E14</t>
        </is>
      </c>
      <c r="C39" s="532" t="n"/>
      <c r="D39" s="533" t="n"/>
      <c r="E39" s="200" t="inlineStr">
        <is>
          <t>VNC fin : coût d'acquisition moins cumul des annuités.</t>
        </is>
      </c>
      <c r="F39" s="532" t="n"/>
      <c r="G39" s="532" t="n"/>
      <c r="H39" s="532" t="n"/>
      <c r="I39" s="532" t="n"/>
      <c r="J39" s="533" t="n"/>
    </row>
  </sheetData>
  <mergeCells count="22">
    <mergeCell ref="A29:J29"/>
    <mergeCell ref="E31:J31"/>
    <mergeCell ref="E34:J34"/>
    <mergeCell ref="A28:J28"/>
    <mergeCell ref="E30:J30"/>
    <mergeCell ref="B38:D38"/>
    <mergeCell ref="B34:D34"/>
    <mergeCell ref="B37:D37"/>
    <mergeCell ref="E36:J36"/>
    <mergeCell ref="B30:D30"/>
    <mergeCell ref="B33:D33"/>
    <mergeCell ref="B36:D36"/>
    <mergeCell ref="E32:J32"/>
    <mergeCell ref="B32:D32"/>
    <mergeCell ref="B35:D35"/>
    <mergeCell ref="E37:J37"/>
    <mergeCell ref="E33:J33"/>
    <mergeCell ref="B31:D31"/>
    <mergeCell ref="E39:J39"/>
    <mergeCell ref="E35:J35"/>
    <mergeCell ref="B39:D39"/>
    <mergeCell ref="E38:J38"/>
  </mergeCells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tabColor rgb="000ACFCF"/>
    <outlinePr summaryBelow="1" summaryRight="1"/>
    <pageSetUpPr fitToPage="1"/>
  </sheetPr>
  <dimension ref="A1:K38"/>
  <sheetViews>
    <sheetView topLeftCell="A7" workbookViewId="0">
      <selection activeCell="A1" sqref="A1"/>
    </sheetView>
  </sheetViews>
  <sheetFormatPr baseColWidth="10" defaultColWidth="8.7265625" defaultRowHeight="14.5"/>
  <cols>
    <col width="34" customWidth="1" style="134" min="1" max="1"/>
    <col width="24" customWidth="1" style="134" min="2" max="2"/>
    <col width="16" customWidth="1" style="134" min="3" max="5"/>
    <col width="13" customWidth="1" style="134" min="4" max="4"/>
    <col width="13" customWidth="1" style="134" min="5" max="5"/>
    <col width="20" customWidth="1" style="134" min="6" max="6"/>
    <col width="16" customWidth="1" style="134" min="7" max="7"/>
    <col width="13" customWidth="1" style="134" min="8" max="8"/>
    <col width="13" customWidth="1" style="134" min="9" max="9"/>
    <col width="13" customWidth="1" style="134" min="10" max="10"/>
    <col width="13" customWidth="1" style="134" min="11" max="11"/>
  </cols>
  <sheetData>
    <row r="1" ht="18.5" customHeight="1" s="134">
      <c r="A1" s="77" t="inlineStr">
        <is>
          <t>Trame d'amortissement dégressif</t>
        </is>
      </c>
    </row>
    <row r="2">
      <c r="A2" s="78" t="inlineStr">
        <is>
          <t>Complétez les cellules jaunes. Coefficient : 1,25 (3-4 ans), 1,75 (5-6 ans), 2,25 (plus de 6 ans). Prorata en mois la première année.</t>
        </is>
      </c>
    </row>
    <row r="4" ht="21" customHeight="1" s="134">
      <c r="A4" s="345" t="inlineStr">
        <is>
          <t>Nature de l'immobilisation</t>
        </is>
      </c>
      <c r="B4" s="346" t="n"/>
    </row>
    <row r="5" ht="21" customHeight="1" s="134">
      <c r="A5" s="347" t="inlineStr">
        <is>
          <t>Date de mise en service</t>
        </is>
      </c>
      <c r="B5" s="348" t="n"/>
    </row>
    <row r="6" ht="21" customHeight="1" s="134">
      <c r="A6" s="347" t="inlineStr">
        <is>
          <t>Coût d'acquisition HT</t>
        </is>
      </c>
      <c r="B6" s="349" t="n"/>
    </row>
    <row r="7" ht="21" customHeight="1" s="134">
      <c r="A7" s="350" t="inlineStr">
        <is>
          <t>Durée d'utilisation (années)</t>
        </is>
      </c>
      <c r="B7" s="370" t="n"/>
    </row>
    <row r="9" ht="21" customHeight="1" s="134">
      <c r="A9" s="345" t="inlineStr">
        <is>
          <t>Coefficient dégressif</t>
        </is>
      </c>
      <c r="B9" s="371">
        <f>IF(B7="","",IF(B7&lt;=4,1.25,IF(B7&lt;=6,1.75,2.25)))</f>
        <v/>
      </c>
    </row>
    <row r="10" ht="21" customHeight="1" s="134">
      <c r="A10" s="347" t="inlineStr">
        <is>
          <t>Taux dégressif</t>
        </is>
      </c>
      <c r="B10" s="353">
        <f>IF(B7="","",B9/B7)</f>
        <v/>
      </c>
    </row>
    <row r="11" ht="21" customHeight="1" s="134">
      <c r="A11" s="350" t="inlineStr">
        <is>
          <t>Mois à amortir en année N</t>
        </is>
      </c>
      <c r="B11" s="372">
        <f>IF(B5="","",13-MONTH(B5))</f>
        <v/>
      </c>
    </row>
    <row r="13" ht="36" customHeight="1" s="134">
      <c r="A13" s="355" t="inlineStr">
        <is>
          <t>Année</t>
        </is>
      </c>
      <c r="B13" s="356" t="inlineStr">
        <is>
          <t>Base amortissable (VNC début)</t>
        </is>
      </c>
      <c r="C13" s="356" t="inlineStr">
        <is>
          <t>Taux dégressif</t>
        </is>
      </c>
      <c r="D13" s="356" t="inlineStr">
        <is>
          <t>Taux linéaire</t>
        </is>
      </c>
      <c r="E13" s="356" t="inlineStr">
        <is>
          <t>Annuité</t>
        </is>
      </c>
      <c r="F13" s="356" t="inlineStr">
        <is>
          <t>Cumul des annuités</t>
        </is>
      </c>
      <c r="G13" s="357" t="inlineStr">
        <is>
          <t>VNC fin</t>
        </is>
      </c>
    </row>
    <row r="14" ht="21" customHeight="1" s="134">
      <c r="A14" s="373" t="inlineStr">
        <is>
          <t>N</t>
        </is>
      </c>
      <c r="B14" s="359">
        <f>IF(OR($B$6="",$B$7="",$B$5="",0&gt;$B$7-1),"",$B$6)</f>
        <v/>
      </c>
      <c r="C14" s="360">
        <f>IF(OR($B$6="",$B$7="",$B$5="",0&gt;$B$7-1),"",$B$10)</f>
        <v/>
      </c>
      <c r="D14" s="360">
        <f>IF(OR($B$6="",$B$7="",$B$5="",0&gt;$B$7-1),"",1/$B$7)</f>
        <v/>
      </c>
      <c r="E14" s="359">
        <f>IF(OR($B$6="",$B$7="",$B$5="",0&gt;$B$7-1),"",B14*C14*$B$11/12)</f>
        <v/>
      </c>
      <c r="F14" s="359">
        <f>IF(OR($B$6="",$B$7="",$B$5="",0&gt;$B$7-1),"",E14)</f>
        <v/>
      </c>
      <c r="G14" s="361">
        <f>IF(OR($B$6="",$B$7="",$B$5="",0&gt;$B$7-1),"",$B$6-F14)</f>
        <v/>
      </c>
    </row>
    <row r="15" ht="21" customHeight="1" s="134">
      <c r="A15" s="374" t="inlineStr">
        <is>
          <t>N+1</t>
        </is>
      </c>
      <c r="B15" s="363">
        <f>IF(OR($B$6="",$B$7="",$B$5=""),"",IF(12*$B$7-($B$11+12*(1-1))&lt;=0,"",G14))</f>
        <v/>
      </c>
      <c r="C15" s="364">
        <f>IF(OR($B$6="",$B$7="",$B$5=""),"",IF(12*$B$7-($B$11+12*(1-1))&lt;=0,"",$B$10))</f>
        <v/>
      </c>
      <c r="D15" s="364">
        <f>IF(OR($B$6="",$B$7="",$B$5=""),"",IF(12*$B$7-($B$11+12*(1-1))&lt;=0,"",MIN(1,12/(12*$B$7-($B$11+12*(1-1))))))</f>
        <v/>
      </c>
      <c r="E15" s="363">
        <f>IF(OR($B$6="",$B$7="",$B$5=""),"",IF(12*$B$7-($B$11+12*(1-1))&lt;=0,"",B15*MAX(C15,D15)))</f>
        <v/>
      </c>
      <c r="F15" s="363">
        <f>IF(OR($B$6="",$B$7="",$B$5=""),"",IF(12*$B$7-($B$11+12*(1-1))&lt;=0,"",F14+E15))</f>
        <v/>
      </c>
      <c r="G15" s="365">
        <f>IF(OR($B$6="",$B$7="",$B$5=""),"",IF(12*$B$7-($B$11+12*(1-1))&lt;=0,"",$B$6-F15))</f>
        <v/>
      </c>
    </row>
    <row r="16" ht="21" customHeight="1" s="134">
      <c r="A16" s="373" t="inlineStr">
        <is>
          <t>N+2</t>
        </is>
      </c>
      <c r="B16" s="359">
        <f>IF(OR($B$6="",$B$7="",$B$5=""),"",IF(12*$B$7-($B$11+12*(2-1))&lt;=0,"",G15))</f>
        <v/>
      </c>
      <c r="C16" s="360">
        <f>IF(OR($B$6="",$B$7="",$B$5=""),"",IF(12*$B$7-($B$11+12*(2-1))&lt;=0,"",$B$10))</f>
        <v/>
      </c>
      <c r="D16" s="360">
        <f>IF(OR($B$6="",$B$7="",$B$5=""),"",IF(12*$B$7-($B$11+12*(2-1))&lt;=0,"",MIN(1,12/(12*$B$7-($B$11+12*(2-1))))))</f>
        <v/>
      </c>
      <c r="E16" s="359">
        <f>IF(OR($B$6="",$B$7="",$B$5=""),"",IF(12*$B$7-($B$11+12*(2-1))&lt;=0,"",B16*MAX(C16,D16)))</f>
        <v/>
      </c>
      <c r="F16" s="359">
        <f>IF(OR($B$6="",$B$7="",$B$5=""),"",IF(12*$B$7-($B$11+12*(2-1))&lt;=0,"",F15+E16))</f>
        <v/>
      </c>
      <c r="G16" s="361">
        <f>IF(OR($B$6="",$B$7="",$B$5=""),"",IF(12*$B$7-($B$11+12*(2-1))&lt;=0,"",$B$6-F16))</f>
        <v/>
      </c>
    </row>
    <row r="17" ht="21" customHeight="1" s="134">
      <c r="A17" s="374" t="inlineStr">
        <is>
          <t>N+3</t>
        </is>
      </c>
      <c r="B17" s="363">
        <f>IF(OR($B$6="",$B$7="",$B$5=""),"",IF(12*$B$7-($B$11+12*(3-1))&lt;=0,"",G16))</f>
        <v/>
      </c>
      <c r="C17" s="364">
        <f>IF(OR($B$6="",$B$7="",$B$5=""),"",IF(12*$B$7-($B$11+12*(3-1))&lt;=0,"",$B$10))</f>
        <v/>
      </c>
      <c r="D17" s="364">
        <f>IF(OR($B$6="",$B$7="",$B$5=""),"",IF(12*$B$7-($B$11+12*(3-1))&lt;=0,"",MIN(1,12/(12*$B$7-($B$11+12*(3-1))))))</f>
        <v/>
      </c>
      <c r="E17" s="363">
        <f>IF(OR($B$6="",$B$7="",$B$5=""),"",IF(12*$B$7-($B$11+12*(3-1))&lt;=0,"",B17*MAX(C17,D17)))</f>
        <v/>
      </c>
      <c r="F17" s="363">
        <f>IF(OR($B$6="",$B$7="",$B$5=""),"",IF(12*$B$7-($B$11+12*(3-1))&lt;=0,"",F16+E17))</f>
        <v/>
      </c>
      <c r="G17" s="365">
        <f>IF(OR($B$6="",$B$7="",$B$5=""),"",IF(12*$B$7-($B$11+12*(3-1))&lt;=0,"",$B$6-F17))</f>
        <v/>
      </c>
    </row>
    <row r="18" ht="21" customHeight="1" s="134">
      <c r="A18" s="373" t="inlineStr">
        <is>
          <t>N+4</t>
        </is>
      </c>
      <c r="B18" s="359">
        <f>IF(OR($B$6="",$B$7="",$B$5=""),"",IF(12*$B$7-($B$11+12*(4-1))&lt;=0,"",G17))</f>
        <v/>
      </c>
      <c r="C18" s="360">
        <f>IF(OR($B$6="",$B$7="",$B$5=""),"",IF(12*$B$7-($B$11+12*(4-1))&lt;=0,"",$B$10))</f>
        <v/>
      </c>
      <c r="D18" s="360">
        <f>IF(OR($B$6="",$B$7="",$B$5=""),"",IF(12*$B$7-($B$11+12*(4-1))&lt;=0,"",MIN(1,12/(12*$B$7-($B$11+12*(4-1))))))</f>
        <v/>
      </c>
      <c r="E18" s="359">
        <f>IF(OR($B$6="",$B$7="",$B$5=""),"",IF(12*$B$7-($B$11+12*(4-1))&lt;=0,"",B18*MAX(C18,D18)))</f>
        <v/>
      </c>
      <c r="F18" s="359">
        <f>IF(OR($B$6="",$B$7="",$B$5=""),"",IF(12*$B$7-($B$11+12*(4-1))&lt;=0,"",F17+E18))</f>
        <v/>
      </c>
      <c r="G18" s="361">
        <f>IF(OR($B$6="",$B$7="",$B$5=""),"",IF(12*$B$7-($B$11+12*(4-1))&lt;=0,"",$B$6-F18))</f>
        <v/>
      </c>
    </row>
    <row r="19" ht="21" customHeight="1" s="134">
      <c r="A19" s="374" t="inlineStr">
        <is>
          <t>N+5</t>
        </is>
      </c>
      <c r="B19" s="363">
        <f>IF(OR($B$6="",$B$7="",$B$5=""),"",IF(12*$B$7-($B$11+12*(5-1))&lt;=0,"",G18))</f>
        <v/>
      </c>
      <c r="C19" s="364">
        <f>IF(OR($B$6="",$B$7="",$B$5=""),"",IF(12*$B$7-($B$11+12*(5-1))&lt;=0,"",$B$10))</f>
        <v/>
      </c>
      <c r="D19" s="364">
        <f>IF(OR($B$6="",$B$7="",$B$5=""),"",IF(12*$B$7-($B$11+12*(5-1))&lt;=0,"",MIN(1,12/(12*$B$7-($B$11+12*(5-1))))))</f>
        <v/>
      </c>
      <c r="E19" s="363">
        <f>IF(OR($B$6="",$B$7="",$B$5=""),"",IF(12*$B$7-($B$11+12*(5-1))&lt;=0,"",B19*MAX(C19,D19)))</f>
        <v/>
      </c>
      <c r="F19" s="363">
        <f>IF(OR($B$6="",$B$7="",$B$5=""),"",IF(12*$B$7-($B$11+12*(5-1))&lt;=0,"",F18+E19))</f>
        <v/>
      </c>
      <c r="G19" s="365">
        <f>IF(OR($B$6="",$B$7="",$B$5=""),"",IF(12*$B$7-($B$11+12*(5-1))&lt;=0,"",$B$6-F19))</f>
        <v/>
      </c>
    </row>
    <row r="20" ht="21" customHeight="1" s="134">
      <c r="A20" s="373" t="inlineStr">
        <is>
          <t>N+6</t>
        </is>
      </c>
      <c r="B20" s="359">
        <f>IF(OR($B$6="",$B$7="",$B$5=""),"",IF(12*$B$7-($B$11+12*(6-1))&lt;=0,"",G19))</f>
        <v/>
      </c>
      <c r="C20" s="360">
        <f>IF(OR($B$6="",$B$7="",$B$5=""),"",IF(12*$B$7-($B$11+12*(6-1))&lt;=0,"",$B$10))</f>
        <v/>
      </c>
      <c r="D20" s="360">
        <f>IF(OR($B$6="",$B$7="",$B$5=""),"",IF(12*$B$7-($B$11+12*(6-1))&lt;=0,"",MIN(1,12/(12*$B$7-($B$11+12*(6-1))))))</f>
        <v/>
      </c>
      <c r="E20" s="359">
        <f>IF(OR($B$6="",$B$7="",$B$5=""),"",IF(12*$B$7-($B$11+12*(6-1))&lt;=0,"",B20*MAX(C20,D20)))</f>
        <v/>
      </c>
      <c r="F20" s="359">
        <f>IF(OR($B$6="",$B$7="",$B$5=""),"",IF(12*$B$7-($B$11+12*(6-1))&lt;=0,"",F19+E20))</f>
        <v/>
      </c>
      <c r="G20" s="361">
        <f>IF(OR($B$6="",$B$7="",$B$5=""),"",IF(12*$B$7-($B$11+12*(6-1))&lt;=0,"",$B$6-F20))</f>
        <v/>
      </c>
    </row>
    <row r="21" ht="21" customHeight="1" s="134">
      <c r="A21" s="374" t="inlineStr">
        <is>
          <t>N+7</t>
        </is>
      </c>
      <c r="B21" s="363">
        <f>IF(OR($B$6="",$B$7="",$B$5=""),"",IF(12*$B$7-($B$11+12*(7-1))&lt;=0,"",G20))</f>
        <v/>
      </c>
      <c r="C21" s="364">
        <f>IF(OR($B$6="",$B$7="",$B$5=""),"",IF(12*$B$7-($B$11+12*(7-1))&lt;=0,"",$B$10))</f>
        <v/>
      </c>
      <c r="D21" s="364">
        <f>IF(OR($B$6="",$B$7="",$B$5=""),"",IF(12*$B$7-($B$11+12*(7-1))&lt;=0,"",MIN(1,12/(12*$B$7-($B$11+12*(7-1))))))</f>
        <v/>
      </c>
      <c r="E21" s="363">
        <f>IF(OR($B$6="",$B$7="",$B$5=""),"",IF(12*$B$7-($B$11+12*(7-1))&lt;=0,"",B21*MAX(C21,D21)))</f>
        <v/>
      </c>
      <c r="F21" s="363">
        <f>IF(OR($B$6="",$B$7="",$B$5=""),"",IF(12*$B$7-($B$11+12*(7-1))&lt;=0,"",F20+E21))</f>
        <v/>
      </c>
      <c r="G21" s="365">
        <f>IF(OR($B$6="",$B$7="",$B$5=""),"",IF(12*$B$7-($B$11+12*(7-1))&lt;=0,"",$B$6-F21))</f>
        <v/>
      </c>
    </row>
    <row r="22" ht="21" customHeight="1" s="134">
      <c r="A22" s="373" t="inlineStr">
        <is>
          <t>N+8</t>
        </is>
      </c>
      <c r="B22" s="359">
        <f>IF(OR($B$6="",$B$7="",$B$5=""),"",IF(12*$B$7-($B$11+12*(8-1))&lt;=0,"",G21))</f>
        <v/>
      </c>
      <c r="C22" s="360">
        <f>IF(OR($B$6="",$B$7="",$B$5=""),"",IF(12*$B$7-($B$11+12*(8-1))&lt;=0,"",$B$10))</f>
        <v/>
      </c>
      <c r="D22" s="360">
        <f>IF(OR($B$6="",$B$7="",$B$5=""),"",IF(12*$B$7-($B$11+12*(8-1))&lt;=0,"",MIN(1,12/(12*$B$7-($B$11+12*(8-1))))))</f>
        <v/>
      </c>
      <c r="E22" s="359">
        <f>IF(OR($B$6="",$B$7="",$B$5=""),"",IF(12*$B$7-($B$11+12*(8-1))&lt;=0,"",B22*MAX(C22,D22)))</f>
        <v/>
      </c>
      <c r="F22" s="359">
        <f>IF(OR($B$6="",$B$7="",$B$5=""),"",IF(12*$B$7-($B$11+12*(8-1))&lt;=0,"",F21+E22))</f>
        <v/>
      </c>
      <c r="G22" s="361">
        <f>IF(OR($B$6="",$B$7="",$B$5=""),"",IF(12*$B$7-($B$11+12*(8-1))&lt;=0,"",$B$6-F22))</f>
        <v/>
      </c>
    </row>
    <row r="23" ht="21" customHeight="1" s="134">
      <c r="A23" s="375" t="inlineStr">
        <is>
          <t>N+9</t>
        </is>
      </c>
      <c r="B23" s="376">
        <f>IF(OR($B$6="",$B$7="",$B$5=""),"",IF(12*$B$7-($B$11+12*(9-1))&lt;=0,"",G22))</f>
        <v/>
      </c>
      <c r="C23" s="377">
        <f>IF(OR($B$6="",$B$7="",$B$5=""),"",IF(12*$B$7-($B$11+12*(9-1))&lt;=0,"",$B$10))</f>
        <v/>
      </c>
      <c r="D23" s="377">
        <f>IF(OR($B$6="",$B$7="",$B$5=""),"",IF(12*$B$7-($B$11+12*(9-1))&lt;=0,"",MIN(1,12/(12*$B$7-($B$11+12*(9-1))))))</f>
        <v/>
      </c>
      <c r="E23" s="376">
        <f>IF(OR($B$6="",$B$7="",$B$5=""),"",IF(12*$B$7-($B$11+12*(9-1))&lt;=0,"",B23*MAX(C23,D23)))</f>
        <v/>
      </c>
      <c r="F23" s="376">
        <f>IF(OR($B$6="",$B$7="",$B$5=""),"",IF(12*$B$7-($B$11+12*(9-1))&lt;=0,"",F22+E23))</f>
        <v/>
      </c>
      <c r="G23" s="378">
        <f>IF(OR($B$6="",$B$7="",$B$5=""),"",IF(12*$B$7-($B$11+12*(9-1))&lt;=0,"",$B$6-F23))</f>
        <v/>
      </c>
    </row>
    <row r="25">
      <c r="A25" s="78" t="inlineStr">
        <is>
          <t>Règle : on retient le taux dégressif tant qu'il est supérieur au taux linéaire calculé sur la durée restant à courir (comptée en mois) ; sinon on passe au linéaire sur le solde. Un bien mis en service en cours d'année est amorti jusqu'à l'année N + durée.</t>
        </is>
      </c>
    </row>
    <row r="27" ht="22" customHeight="1" s="134">
      <c r="A27" s="203" t="inlineStr">
        <is>
          <t>Comment ça marche : les formules, cellule par cellule</t>
        </is>
      </c>
      <c r="B27" s="532" t="n"/>
      <c r="C27" s="532" t="n"/>
      <c r="D27" s="532" t="n"/>
      <c r="E27" s="532" t="n"/>
      <c r="F27" s="532" t="n"/>
      <c r="G27" s="532" t="n"/>
      <c r="H27" s="532" t="n"/>
      <c r="I27" s="532" t="n"/>
      <c r="J27" s="532" t="n"/>
      <c r="K27" s="533" t="n"/>
    </row>
    <row r="28" ht="21" customHeight="1" s="134">
      <c r="A28" s="309" t="inlineStr">
        <is>
          <t>Cellules jaunes : nature, date de mise en service, coût et durée à saisir. Les lignes au-delà de la durée restent vides.</t>
        </is>
      </c>
      <c r="B28" s="532" t="n"/>
      <c r="C28" s="532" t="n"/>
      <c r="D28" s="532" t="n"/>
      <c r="E28" s="532" t="n"/>
      <c r="F28" s="532" t="n"/>
      <c r="G28" s="532" t="n"/>
      <c r="H28" s="532" t="n"/>
      <c r="I28" s="532" t="n"/>
      <c r="J28" s="532" t="n"/>
      <c r="K28" s="533" t="n"/>
    </row>
    <row r="29">
      <c r="A29" s="204" t="inlineStr">
        <is>
          <t>Cellule(s)</t>
        </is>
      </c>
      <c r="B29" s="204" t="inlineStr">
        <is>
          <t>Formule (Excel en français)</t>
        </is>
      </c>
      <c r="C29" s="532" t="n"/>
      <c r="D29" s="533" t="n"/>
      <c r="E29" s="204" t="inlineStr">
        <is>
          <t>Ce qu'elle fait</t>
        </is>
      </c>
      <c r="F29" s="532" t="n"/>
      <c r="G29" s="532" t="n"/>
      <c r="H29" s="532" t="n"/>
      <c r="I29" s="532" t="n"/>
      <c r="J29" s="532" t="n"/>
      <c r="K29" s="533" t="n"/>
    </row>
    <row r="30" ht="19" customHeight="1" s="134">
      <c r="A30" s="205" t="inlineStr">
        <is>
          <t>B9</t>
        </is>
      </c>
      <c r="B30" s="206" t="inlineStr">
        <is>
          <t>=SI(B7&lt;=4;1,25;SI(B7&lt;=6;1,75;2,25))</t>
        </is>
      </c>
      <c r="C30" s="532" t="n"/>
      <c r="D30" s="533" t="n"/>
      <c r="E30" s="200" t="inlineStr">
        <is>
          <t>Coefficient dégressif selon la durée : 1,25 jusqu'à 4 ans, 1,75 pour 5-6 ans, 2,25 au-delà.</t>
        </is>
      </c>
      <c r="F30" s="532" t="n"/>
      <c r="G30" s="532" t="n"/>
      <c r="H30" s="532" t="n"/>
      <c r="I30" s="532" t="n"/>
      <c r="J30" s="532" t="n"/>
      <c r="K30" s="533" t="n"/>
    </row>
    <row r="31" ht="19" customHeight="1" s="134">
      <c r="A31" s="207" t="inlineStr">
        <is>
          <t>B10</t>
        </is>
      </c>
      <c r="B31" s="208" t="inlineStr">
        <is>
          <t>=B9/B7</t>
        </is>
      </c>
      <c r="C31" s="532" t="n"/>
      <c r="D31" s="533" t="n"/>
      <c r="E31" s="202" t="inlineStr">
        <is>
          <t>Taux dégressif : taux linéaire (1 / durée) × coefficient.</t>
        </is>
      </c>
      <c r="F31" s="532" t="n"/>
      <c r="G31" s="532" t="n"/>
      <c r="H31" s="532" t="n"/>
      <c r="I31" s="532" t="n"/>
      <c r="J31" s="532" t="n"/>
      <c r="K31" s="533" t="n"/>
    </row>
    <row r="32" ht="19" customHeight="1" s="134">
      <c r="A32" s="205" t="inlineStr">
        <is>
          <t>B11</t>
        </is>
      </c>
      <c r="B32" s="206" t="inlineStr">
        <is>
          <t>=13-MOIS(B5)</t>
        </is>
      </c>
      <c r="C32" s="532" t="n"/>
      <c r="D32" s="533" t="n"/>
      <c r="E32" s="200" t="inlineStr">
        <is>
          <t>Mois à amortir la première année : du mois de mise en service jusqu'en décembre inclus.</t>
        </is>
      </c>
      <c r="F32" s="532" t="n"/>
      <c r="G32" s="532" t="n"/>
      <c r="H32" s="532" t="n"/>
      <c r="I32" s="532" t="n"/>
      <c r="J32" s="532" t="n"/>
      <c r="K32" s="533" t="n"/>
    </row>
    <row r="33" ht="19" customHeight="1" s="134">
      <c r="A33" s="207" t="inlineStr">
        <is>
          <t>B14 · B15:B23</t>
        </is>
      </c>
      <c r="B33" s="208" t="inlineStr">
        <is>
          <t>=$B$6   puis   =G14</t>
        </is>
      </c>
      <c r="C33" s="532" t="n"/>
      <c r="D33" s="533" t="n"/>
      <c r="E33" s="202" t="inlineStr">
        <is>
          <t>Base amortissable : coût la première année, puis VNC de fin de l'année précédente.</t>
        </is>
      </c>
      <c r="F33" s="532" t="n"/>
      <c r="G33" s="532" t="n"/>
      <c r="H33" s="532" t="n"/>
      <c r="I33" s="532" t="n"/>
      <c r="J33" s="532" t="n"/>
      <c r="K33" s="533" t="n"/>
    </row>
    <row r="34" ht="19" customHeight="1" s="134">
      <c r="A34" s="205" t="inlineStr">
        <is>
          <t>C14:C23</t>
        </is>
      </c>
      <c r="B34" s="206" t="inlineStr">
        <is>
          <t>=$B$10</t>
        </is>
      </c>
      <c r="C34" s="532" t="n"/>
      <c r="D34" s="533" t="n"/>
      <c r="E34" s="200" t="inlineStr">
        <is>
          <t>Taux dégressif repris sur chaque ligne.</t>
        </is>
      </c>
      <c r="F34" s="532" t="n"/>
      <c r="G34" s="532" t="n"/>
      <c r="H34" s="532" t="n"/>
      <c r="I34" s="532" t="n"/>
      <c r="J34" s="532" t="n"/>
      <c r="K34" s="533" t="n"/>
    </row>
    <row r="35" ht="19" customHeight="1" s="134">
      <c r="A35" s="207" t="inlineStr">
        <is>
          <t>D14:D23</t>
        </is>
      </c>
      <c r="B35" s="208" t="inlineStr">
        <is>
          <t>=1/$B$7   puis   =MIN(1;12/(12*$B$7-($B$11+12*(k-1))))</t>
        </is>
      </c>
      <c r="C35" s="532" t="n"/>
      <c r="D35" s="533" t="n"/>
      <c r="E35" s="202" t="inlineStr">
        <is>
          <t>Taux linéaire sur la durée restante : 12 / nombre de mois restant à amortir au début de l'année (k = rang de l'année après N), plafonné à 100 % pour la dernière année.</t>
        </is>
      </c>
      <c r="F35" s="532" t="n"/>
      <c r="G35" s="532" t="n"/>
      <c r="H35" s="532" t="n"/>
      <c r="I35" s="532" t="n"/>
      <c r="J35" s="532" t="n"/>
      <c r="K35" s="533" t="n"/>
    </row>
    <row r="36" ht="19" customHeight="1" s="134">
      <c r="A36" s="205" t="inlineStr">
        <is>
          <t>E14</t>
        </is>
      </c>
      <c r="B36" s="206" t="inlineStr">
        <is>
          <t>=B14*C14*B11/12</t>
        </is>
      </c>
      <c r="C36" s="532" t="n"/>
      <c r="D36" s="533" t="n"/>
      <c r="E36" s="200" t="inlineStr">
        <is>
          <t>Première annuité : base × taux dégressif × mois à amortir / 12.</t>
        </is>
      </c>
      <c r="F36" s="532" t="n"/>
      <c r="G36" s="532" t="n"/>
      <c r="H36" s="532" t="n"/>
      <c r="I36" s="532" t="n"/>
      <c r="J36" s="532" t="n"/>
      <c r="K36" s="533" t="n"/>
    </row>
    <row r="37" ht="34" customHeight="1" s="134">
      <c r="A37" s="207" t="inlineStr">
        <is>
          <t>E15:E23</t>
        </is>
      </c>
      <c r="B37" s="208" t="inlineStr">
        <is>
          <t>=B15*MAX(C15;D15)</t>
        </is>
      </c>
      <c r="C37" s="532" t="n"/>
      <c r="D37" s="533" t="n"/>
      <c r="E37" s="202" t="inlineStr">
        <is>
          <t>Annuité : base × le plus élevé des deux taux. Quand le taux linéaire dépasse le dégressif, on passe au linéaire sur le solde.</t>
        </is>
      </c>
      <c r="F37" s="532" t="n"/>
      <c r="G37" s="532" t="n"/>
      <c r="H37" s="532" t="n"/>
      <c r="I37" s="532" t="n"/>
      <c r="J37" s="532" t="n"/>
      <c r="K37" s="533" t="n"/>
    </row>
    <row r="38" ht="19" customHeight="1" s="134">
      <c r="A38" s="205" t="inlineStr">
        <is>
          <t>F · G</t>
        </is>
      </c>
      <c r="B38" s="206" t="inlineStr">
        <is>
          <t>=E14 puis =F14+E15  ·  =$B$6-F14</t>
        </is>
      </c>
      <c r="C38" s="532" t="n"/>
      <c r="D38" s="533" t="n"/>
      <c r="E38" s="200" t="inlineStr">
        <is>
          <t>Cumul des annuités, puis VNC fin = coût d'acquisition moins cumul.</t>
        </is>
      </c>
      <c r="F38" s="532" t="n"/>
      <c r="G38" s="532" t="n"/>
      <c r="H38" s="532" t="n"/>
      <c r="I38" s="532" t="n"/>
      <c r="J38" s="532" t="n"/>
      <c r="K38" s="533" t="n"/>
    </row>
  </sheetData>
  <mergeCells count="22">
    <mergeCell ref="E36:K36"/>
    <mergeCell ref="E32:K32"/>
    <mergeCell ref="B29:D29"/>
    <mergeCell ref="B38:D38"/>
    <mergeCell ref="B34:D34"/>
    <mergeCell ref="E37:K37"/>
    <mergeCell ref="B37:D37"/>
    <mergeCell ref="B30:D30"/>
    <mergeCell ref="E33:K33"/>
    <mergeCell ref="A27:K27"/>
    <mergeCell ref="B33:D33"/>
    <mergeCell ref="B36:D36"/>
    <mergeCell ref="B32:D32"/>
    <mergeCell ref="B35:D35"/>
    <mergeCell ref="E29:K29"/>
    <mergeCell ref="E35:K35"/>
    <mergeCell ref="E38:K38"/>
    <mergeCell ref="E31:K31"/>
    <mergeCell ref="B31:D31"/>
    <mergeCell ref="E30:K30"/>
    <mergeCell ref="E34:K34"/>
    <mergeCell ref="A28:K28"/>
  </mergeCells>
  <pageMargins left="0.75" right="0.75" top="1" bottom="1" header="0.5" footer="0.5"/>
  <pageSetup orientation="landscape" fitToHeight="0" fitToWidth="1"/>
</worksheet>
</file>

<file path=xl/worksheets/sheet8.xml><?xml version="1.0" encoding="utf-8"?>
<worksheet xmlns="http://schemas.openxmlformats.org/spreadsheetml/2006/main">
  <sheetPr>
    <tabColor rgb="000ACFCF"/>
    <outlinePr summaryBelow="1" summaryRight="1"/>
    <pageSetUpPr fitToPage="1"/>
  </sheetPr>
  <dimension ref="A1:J35"/>
  <sheetViews>
    <sheetView workbookViewId="0">
      <selection activeCell="A1" sqref="A1"/>
    </sheetView>
  </sheetViews>
  <sheetFormatPr baseColWidth="10" defaultColWidth="8.7265625" defaultRowHeight="14.5"/>
  <cols>
    <col width="30" customWidth="1" style="134" min="1" max="1"/>
    <col width="20" customWidth="1" style="134" min="2" max="2"/>
    <col width="24" customWidth="1" style="134" min="3" max="3"/>
    <col width="18" customWidth="1" style="134" min="4" max="4"/>
    <col width="22" customWidth="1" style="134" min="5" max="5"/>
    <col width="18" customWidth="1" style="134" min="6" max="6"/>
    <col width="13" customWidth="1" style="134" min="7" max="7"/>
    <col width="13" customWidth="1" style="134" min="8" max="8"/>
    <col width="13" customWidth="1" style="134" min="9" max="9"/>
    <col width="13" customWidth="1" style="134" min="10" max="10"/>
  </cols>
  <sheetData>
    <row r="1" ht="18.5" customHeight="1" s="134">
      <c r="A1" s="77" t="inlineStr">
        <is>
          <t>Trame d'amortissement par unités d'œuvre (mode variable)</t>
        </is>
      </c>
    </row>
    <row r="2">
      <c r="A2" s="78" t="inlineStr">
        <is>
          <t>Complétez les cellules jaunes : coût du bien puis unités d'œuvre de chaque année (km, heures, pièces produites...). Pas de prorata temporis.</t>
        </is>
      </c>
    </row>
    <row r="4" ht="21" customHeight="1" s="134">
      <c r="A4" s="345" t="inlineStr">
        <is>
          <t>Nature de l'immobilisation</t>
        </is>
      </c>
      <c r="B4" s="346" t="n"/>
    </row>
    <row r="5" ht="21" customHeight="1" s="134">
      <c r="A5" s="347" t="inlineStr">
        <is>
          <t>Coût d'acquisition HT</t>
        </is>
      </c>
      <c r="B5" s="349" t="n"/>
    </row>
    <row r="6" ht="21" customHeight="1" s="134">
      <c r="A6" s="347" t="inlineStr">
        <is>
          <t>Valeur résiduelle</t>
        </is>
      </c>
      <c r="B6" s="349" t="n"/>
    </row>
    <row r="7" ht="21" customHeight="1" s="134">
      <c r="A7" s="350" t="inlineStr">
        <is>
          <t>Unité d'œuvre utilisée</t>
        </is>
      </c>
      <c r="B7" s="351" t="n"/>
    </row>
    <row r="8">
      <c r="A8" s="350" t="inlineStr">
        <is>
          <t>Total d'unités d'œuvre prévues (si connu)</t>
        </is>
      </c>
      <c r="B8" s="351" t="n"/>
    </row>
    <row r="9" ht="21" customHeight="1" s="134">
      <c r="A9" s="345" t="inlineStr">
        <is>
          <t>Base amortissable</t>
        </is>
      </c>
      <c r="B9" s="352">
        <f>IF(B5="","",B5-N(B6))</f>
        <v/>
      </c>
    </row>
    <row r="10" ht="21" customHeight="1" s="134">
      <c r="A10" s="350" t="inlineStr">
        <is>
          <t>Total des unités d'œuvre retenu</t>
        </is>
      </c>
      <c r="B10" s="379">
        <f>IF(N(B8)&gt;0,B8,SUM(C14:C23))</f>
        <v/>
      </c>
    </row>
    <row r="13" ht="36" customHeight="1" s="134">
      <c r="A13" s="355" t="inlineStr">
        <is>
          <t>Année</t>
        </is>
      </c>
      <c r="B13" s="356" t="inlineStr">
        <is>
          <t>Base amortissable</t>
        </is>
      </c>
      <c r="C13" s="356" t="inlineStr">
        <is>
          <t>Unités d'œuvre de l'année</t>
        </is>
      </c>
      <c r="D13" s="356" t="inlineStr">
        <is>
          <t>Annuité</t>
        </is>
      </c>
      <c r="E13" s="356" t="inlineStr">
        <is>
          <t>Cumul des annuités</t>
        </is>
      </c>
      <c r="F13" s="357" t="inlineStr">
        <is>
          <t>VNC fin</t>
        </is>
      </c>
    </row>
    <row r="14" ht="21" customHeight="1" s="134">
      <c r="A14" s="373" t="inlineStr">
        <is>
          <t>N</t>
        </is>
      </c>
      <c r="B14" s="359">
        <f>IF(OR(C14="",$B$9=""),"",$B$9)</f>
        <v/>
      </c>
      <c r="C14" s="380" t="n"/>
      <c r="D14" s="359">
        <f>IF(OR(C14="",$B$9="",$B$10=0),"",$B$9*C14/$B$10)</f>
        <v/>
      </c>
      <c r="E14" s="359">
        <f>IF(D14="","",D14)</f>
        <v/>
      </c>
      <c r="F14" s="361">
        <f>IF(D14="","",$B$5-E14)</f>
        <v/>
      </c>
    </row>
    <row r="15" ht="21" customHeight="1" s="134">
      <c r="A15" s="374" t="inlineStr">
        <is>
          <t>N+1</t>
        </is>
      </c>
      <c r="B15" s="363">
        <f>IF(OR(C15="",$B$9=""),"",$B$9)</f>
        <v/>
      </c>
      <c r="C15" s="380" t="n"/>
      <c r="D15" s="363">
        <f>IF(OR(C15="",$B$9="",$B$10=0),"",$B$9*C15/$B$10)</f>
        <v/>
      </c>
      <c r="E15" s="363">
        <f>IF(D15="","",N(E14)+D15)</f>
        <v/>
      </c>
      <c r="F15" s="365">
        <f>IF(D15="","",$B$5-E15)</f>
        <v/>
      </c>
    </row>
    <row r="16" ht="21" customHeight="1" s="134">
      <c r="A16" s="373" t="inlineStr">
        <is>
          <t>N+2</t>
        </is>
      </c>
      <c r="B16" s="359">
        <f>IF(OR(C16="",$B$9=""),"",$B$9)</f>
        <v/>
      </c>
      <c r="C16" s="380" t="n"/>
      <c r="D16" s="359">
        <f>IF(OR(C16="",$B$9="",$B$10=0),"",$B$9*C16/$B$10)</f>
        <v/>
      </c>
      <c r="E16" s="359">
        <f>IF(D16="","",N(E15)+D16)</f>
        <v/>
      </c>
      <c r="F16" s="361">
        <f>IF(D16="","",$B$5-E16)</f>
        <v/>
      </c>
    </row>
    <row r="17" ht="21" customHeight="1" s="134">
      <c r="A17" s="374" t="inlineStr">
        <is>
          <t>N+3</t>
        </is>
      </c>
      <c r="B17" s="363">
        <f>IF(OR(C17="",$B$9=""),"",$B$9)</f>
        <v/>
      </c>
      <c r="C17" s="380" t="n"/>
      <c r="D17" s="363">
        <f>IF(OR(C17="",$B$9="",$B$10=0),"",$B$9*C17/$B$10)</f>
        <v/>
      </c>
      <c r="E17" s="363">
        <f>IF(D17="","",N(E16)+D17)</f>
        <v/>
      </c>
      <c r="F17" s="365">
        <f>IF(D17="","",$B$5-E17)</f>
        <v/>
      </c>
    </row>
    <row r="18" ht="21" customHeight="1" s="134">
      <c r="A18" s="373" t="inlineStr">
        <is>
          <t>N+4</t>
        </is>
      </c>
      <c r="B18" s="359">
        <f>IF(OR(C18="",$B$9=""),"",$B$9)</f>
        <v/>
      </c>
      <c r="C18" s="380" t="n"/>
      <c r="D18" s="359">
        <f>IF(OR(C18="",$B$9="",$B$10=0),"",$B$9*C18/$B$10)</f>
        <v/>
      </c>
      <c r="E18" s="359">
        <f>IF(D18="","",N(E17)+D18)</f>
        <v/>
      </c>
      <c r="F18" s="361">
        <f>IF(D18="","",$B$5-E18)</f>
        <v/>
      </c>
    </row>
    <row r="19" ht="21" customHeight="1" s="134">
      <c r="A19" s="374" t="inlineStr">
        <is>
          <t>N+5</t>
        </is>
      </c>
      <c r="B19" s="363">
        <f>IF(OR(C19="",$B$9=""),"",$B$9)</f>
        <v/>
      </c>
      <c r="C19" s="380" t="n"/>
      <c r="D19" s="363">
        <f>IF(OR(C19="",$B$9="",$B$10=0),"",$B$9*C19/$B$10)</f>
        <v/>
      </c>
      <c r="E19" s="363">
        <f>IF(D19="","",N(E18)+D19)</f>
        <v/>
      </c>
      <c r="F19" s="365">
        <f>IF(D19="","",$B$5-E19)</f>
        <v/>
      </c>
    </row>
    <row r="20" ht="21" customHeight="1" s="134">
      <c r="A20" s="373" t="inlineStr">
        <is>
          <t>N+6</t>
        </is>
      </c>
      <c r="B20" s="359">
        <f>IF(OR(C20="",$B$9=""),"",$B$9)</f>
        <v/>
      </c>
      <c r="C20" s="380" t="n"/>
      <c r="D20" s="359">
        <f>IF(OR(C20="",$B$9="",$B$10=0),"",$B$9*C20/$B$10)</f>
        <v/>
      </c>
      <c r="E20" s="359">
        <f>IF(D20="","",N(E19)+D20)</f>
        <v/>
      </c>
      <c r="F20" s="361">
        <f>IF(D20="","",$B$5-E20)</f>
        <v/>
      </c>
    </row>
    <row r="21" ht="21" customHeight="1" s="134">
      <c r="A21" s="374" t="inlineStr">
        <is>
          <t>N+7</t>
        </is>
      </c>
      <c r="B21" s="363">
        <f>IF(OR(C21="",$B$9=""),"",$B$9)</f>
        <v/>
      </c>
      <c r="C21" s="380" t="n"/>
      <c r="D21" s="363">
        <f>IF(OR(C21="",$B$9="",$B$10=0),"",$B$9*C21/$B$10)</f>
        <v/>
      </c>
      <c r="E21" s="363">
        <f>IF(D21="","",N(E20)+D21)</f>
        <v/>
      </c>
      <c r="F21" s="365">
        <f>IF(D21="","",$B$5-E21)</f>
        <v/>
      </c>
    </row>
    <row r="22" ht="21" customHeight="1" s="134">
      <c r="A22" s="373" t="inlineStr">
        <is>
          <t>N+8</t>
        </is>
      </c>
      <c r="B22" s="359">
        <f>IF(OR(C22="",$B$9=""),"",$B$9)</f>
        <v/>
      </c>
      <c r="C22" s="380" t="n"/>
      <c r="D22" s="359">
        <f>IF(OR(C22="",$B$9="",$B$10=0),"",$B$9*C22/$B$10)</f>
        <v/>
      </c>
      <c r="E22" s="359">
        <f>IF(D22="","",N(E21)+D22)</f>
        <v/>
      </c>
      <c r="F22" s="361">
        <f>IF(D22="","",$B$5-E22)</f>
        <v/>
      </c>
    </row>
    <row r="23" ht="21" customHeight="1" s="134">
      <c r="A23" s="375" t="inlineStr">
        <is>
          <t>N+9</t>
        </is>
      </c>
      <c r="B23" s="376">
        <f>IF(OR(C23="",$B$9=""),"",$B$9)</f>
        <v/>
      </c>
      <c r="C23" s="381" t="n"/>
      <c r="D23" s="376">
        <f>IF(OR(C23="",$B$9="",$B$10=0),"",$B$9*C23/$B$10)</f>
        <v/>
      </c>
      <c r="E23" s="376">
        <f>IF(D23="","",N(E22)+D23)</f>
        <v/>
      </c>
      <c r="F23" s="378">
        <f>IF(D23="","",$B$5-E23)</f>
        <v/>
      </c>
    </row>
    <row r="25">
      <c r="A25" s="78" t="inlineStr">
        <is>
          <t>Annuité = base amortissable x unités de l'année / total des unités prévues sur la durée d'utilisation.</t>
        </is>
      </c>
    </row>
    <row r="27" ht="22" customHeight="1" s="134">
      <c r="A27" s="203" t="inlineStr">
        <is>
          <t>Comment ça marche : les formules, cellule par cellule</t>
        </is>
      </c>
      <c r="B27" s="532" t="n"/>
      <c r="C27" s="532" t="n"/>
      <c r="D27" s="532" t="n"/>
      <c r="E27" s="532" t="n"/>
      <c r="F27" s="532" t="n"/>
      <c r="G27" s="532" t="n"/>
      <c r="H27" s="532" t="n"/>
      <c r="I27" s="532" t="n"/>
      <c r="J27" s="533" t="n"/>
    </row>
    <row r="28" ht="21" customHeight="1" s="134">
      <c r="A28" s="309" t="inlineStr">
        <is>
          <t>Cellules jaunes : coût, valeur résiduelle, unités d'œuvre de chaque année (colonne C) et, si vous le connaissez, le total d'unités prévues sur toute la durée (B8) à saisir.</t>
        </is>
      </c>
      <c r="B28" s="532" t="n"/>
      <c r="C28" s="532" t="n"/>
      <c r="D28" s="532" t="n"/>
      <c r="E28" s="532" t="n"/>
      <c r="F28" s="532" t="n"/>
      <c r="G28" s="532" t="n"/>
      <c r="H28" s="532" t="n"/>
      <c r="I28" s="532" t="n"/>
      <c r="J28" s="533" t="n"/>
    </row>
    <row r="29">
      <c r="A29" s="204" t="inlineStr">
        <is>
          <t>Cellule(s)</t>
        </is>
      </c>
      <c r="B29" s="204" t="inlineStr">
        <is>
          <t>Formule (Excel en français)</t>
        </is>
      </c>
      <c r="C29" s="532" t="n"/>
      <c r="D29" s="533" t="n"/>
      <c r="E29" s="204" t="inlineStr">
        <is>
          <t>Ce qu'elle fait</t>
        </is>
      </c>
      <c r="F29" s="532" t="n"/>
      <c r="G29" s="532" t="n"/>
      <c r="H29" s="532" t="n"/>
      <c r="I29" s="532" t="n"/>
      <c r="J29" s="533" t="n"/>
    </row>
    <row r="30" ht="19" customHeight="1" s="134">
      <c r="A30" s="205" t="inlineStr">
        <is>
          <t>B9</t>
        </is>
      </c>
      <c r="B30" s="206" t="inlineStr">
        <is>
          <t>=B5-B6</t>
        </is>
      </c>
      <c r="C30" s="532" t="n"/>
      <c r="D30" s="533" t="n"/>
      <c r="E30" s="200" t="inlineStr">
        <is>
          <t>Base amortissable : coût d'acquisition moins valeur résiduelle.</t>
        </is>
      </c>
      <c r="F30" s="532" t="n"/>
      <c r="G30" s="532" t="n"/>
      <c r="H30" s="532" t="n"/>
      <c r="I30" s="532" t="n"/>
      <c r="J30" s="533" t="n"/>
    </row>
    <row r="31" ht="19" customHeight="1" s="134">
      <c r="A31" s="207" t="inlineStr">
        <is>
          <t>B10</t>
        </is>
      </c>
      <c r="B31" s="208" t="inlineStr">
        <is>
          <t>=SI(N(B8)&gt;0;B8;SOMME(C14:C23))</t>
        </is>
      </c>
      <c r="C31" s="532" t="n"/>
      <c r="D31" s="533" t="n"/>
      <c r="E31" s="202" t="inlineStr">
        <is>
          <t>Total des unités d'œuvre prévues sur toute la durée : celui saisi en B8 s'il est connu (capacité du bien, par exemple 200 000 km). Sinon, somme des unités saisies : à utiliser seulement si toutes les années sont renseignées.</t>
        </is>
      </c>
      <c r="F31" s="532" t="n"/>
      <c r="G31" s="532" t="n"/>
      <c r="H31" s="532" t="n"/>
      <c r="I31" s="532" t="n"/>
      <c r="J31" s="533" t="n"/>
    </row>
    <row r="32" ht="19" customHeight="1" s="134">
      <c r="A32" s="205" t="inlineStr">
        <is>
          <t>B14:B23</t>
        </is>
      </c>
      <c r="B32" s="206" t="inlineStr">
        <is>
          <t>=$B$9</t>
        </is>
      </c>
      <c r="C32" s="532" t="n"/>
      <c r="D32" s="533" t="n"/>
      <c r="E32" s="200" t="inlineStr">
        <is>
          <t>Base amortissable reprise sur chaque ligne.</t>
        </is>
      </c>
      <c r="F32" s="532" t="n"/>
      <c r="G32" s="532" t="n"/>
      <c r="H32" s="532" t="n"/>
      <c r="I32" s="532" t="n"/>
      <c r="J32" s="533" t="n"/>
    </row>
    <row r="33" ht="34" customHeight="1" s="134">
      <c r="A33" s="207" t="inlineStr">
        <is>
          <t>D14:D23</t>
        </is>
      </c>
      <c r="B33" s="208" t="inlineStr">
        <is>
          <t>=$B$9*C14/$B$10</t>
        </is>
      </c>
      <c r="C33" s="532" t="n"/>
      <c r="D33" s="533" t="n"/>
      <c r="E33" s="202" t="inlineStr">
        <is>
          <t>Annuité : base amortissable × unités d'œuvre de l'année / total des unités. Pas de prorata temporis.</t>
        </is>
      </c>
      <c r="F33" s="532" t="n"/>
      <c r="G33" s="532" t="n"/>
      <c r="H33" s="532" t="n"/>
      <c r="I33" s="532" t="n"/>
      <c r="J33" s="533" t="n"/>
    </row>
    <row r="34" ht="19" customHeight="1" s="134">
      <c r="A34" s="205" t="inlineStr">
        <is>
          <t>E14 · E15:E23</t>
        </is>
      </c>
      <c r="B34" s="206" t="inlineStr">
        <is>
          <t>=D14   puis   =N(E14)+D15</t>
        </is>
      </c>
      <c r="C34" s="532" t="n"/>
      <c r="D34" s="533" t="n"/>
      <c r="E34" s="200" t="inlineStr">
        <is>
          <t>Cumul des annuités.</t>
        </is>
      </c>
      <c r="F34" s="532" t="n"/>
      <c r="G34" s="532" t="n"/>
      <c r="H34" s="532" t="n"/>
      <c r="I34" s="532" t="n"/>
      <c r="J34" s="533" t="n"/>
    </row>
    <row r="35" ht="19" customHeight="1" s="134">
      <c r="A35" s="207" t="inlineStr">
        <is>
          <t>F14:F23</t>
        </is>
      </c>
      <c r="B35" s="208" t="inlineStr">
        <is>
          <t>=$B$5-E14</t>
        </is>
      </c>
      <c r="C35" s="532" t="n"/>
      <c r="D35" s="533" t="n"/>
      <c r="E35" s="202" t="inlineStr">
        <is>
          <t>VNC fin : coût d'acquisition moins cumul des annuités.</t>
        </is>
      </c>
      <c r="F35" s="532" t="n"/>
      <c r="G35" s="532" t="n"/>
      <c r="H35" s="532" t="n"/>
      <c r="I35" s="532" t="n"/>
      <c r="J35" s="533" t="n"/>
    </row>
  </sheetData>
  <mergeCells count="16">
    <mergeCell ref="B33:D33"/>
    <mergeCell ref="E33:J33"/>
    <mergeCell ref="E30:J30"/>
    <mergeCell ref="E32:J32"/>
    <mergeCell ref="B34:D34"/>
    <mergeCell ref="B31:D31"/>
    <mergeCell ref="A27:J27"/>
    <mergeCell ref="B32:D32"/>
    <mergeCell ref="B35:D35"/>
    <mergeCell ref="E31:J31"/>
    <mergeCell ref="B30:D30"/>
    <mergeCell ref="E34:J34"/>
    <mergeCell ref="E35:J35"/>
    <mergeCell ref="B29:D29"/>
    <mergeCell ref="A28:J28"/>
    <mergeCell ref="E29:J29"/>
  </mergeCells>
  <pageMargins left="0.75" right="0.75" top="1" bottom="1" header="0.5" footer="0.5"/>
  <pageSetup orientation="landscape" fitToHeight="0" fitToWidth="1"/>
</worksheet>
</file>

<file path=xl/worksheets/sheet9.xml><?xml version="1.0" encoding="utf-8"?>
<worksheet xmlns="http://schemas.openxmlformats.org/spreadsheetml/2006/main">
  <sheetPr>
    <tabColor rgb="000ACFCF"/>
    <outlinePr summaryBelow="1" summaryRight="1"/>
    <pageSetUpPr fitToPage="1"/>
  </sheetPr>
  <dimension ref="A1:K41"/>
  <sheetViews>
    <sheetView workbookViewId="0">
      <selection activeCell="A1" sqref="A1"/>
    </sheetView>
  </sheetViews>
  <sheetFormatPr baseColWidth="10" defaultColWidth="8.7265625" defaultRowHeight="14.5"/>
  <cols>
    <col width="36" customWidth="1" style="134" min="1" max="1"/>
    <col width="18" customWidth="1" style="134" min="2" max="3"/>
    <col width="13" customWidth="1" style="134" min="3" max="3"/>
    <col width="20" customWidth="1" style="134" min="4" max="5"/>
    <col width="13" customWidth="1" style="134" min="5" max="5"/>
    <col width="24" customWidth="1" style="134" min="6" max="6"/>
    <col width="20" customWidth="1" style="134" min="7" max="7"/>
    <col width="13" customWidth="1" style="134" min="8" max="8"/>
    <col width="13" customWidth="1" style="134" min="9" max="9"/>
    <col width="13" customWidth="1" style="134" min="10" max="10"/>
    <col width="13" customWidth="1" style="134" min="11" max="11"/>
  </cols>
  <sheetData>
    <row r="1" ht="18.5" customHeight="1" s="134">
      <c r="A1" s="77" t="inlineStr">
        <is>
          <t>Trame d'amortissement dérogatoire (linéaire fiscal / linéaire comptable)</t>
        </is>
      </c>
    </row>
    <row r="2">
      <c r="A2" s="78" t="inlineStr">
        <is>
          <t>Complétez les cellules jaunes. Dotation (+) ou reprise (-) = annuité fiscale - annuité comptable. Prorata en jours (base 360) la première année.</t>
        </is>
      </c>
    </row>
    <row r="4" ht="21" customHeight="1" s="134">
      <c r="A4" s="345" t="inlineStr">
        <is>
          <t>Nature de l'immobilisation</t>
        </is>
      </c>
      <c r="B4" s="346" t="n"/>
    </row>
    <row r="5" ht="21" customHeight="1" s="134">
      <c r="A5" s="347" t="inlineStr">
        <is>
          <t>Date de mise en service</t>
        </is>
      </c>
      <c r="B5" s="348" t="n"/>
    </row>
    <row r="6" ht="21" customHeight="1" s="134">
      <c r="A6" s="347" t="inlineStr">
        <is>
          <t>Coût d'acquisition HT</t>
        </is>
      </c>
      <c r="B6" s="349" t="n"/>
    </row>
    <row r="7" ht="21" customHeight="1" s="134">
      <c r="A7" s="347" t="inlineStr">
        <is>
          <t>Valeur résiduelle (base comptable)</t>
        </is>
      </c>
      <c r="B7" s="349" t="n"/>
    </row>
    <row r="8" ht="21" customHeight="1" s="134">
      <c r="A8" s="347" t="inlineStr">
        <is>
          <t>Durée fiscale (années)</t>
        </is>
      </c>
      <c r="B8" s="382" t="n"/>
    </row>
    <row r="9" ht="21" customHeight="1" s="134">
      <c r="A9" s="350" t="inlineStr">
        <is>
          <t>Durée comptable (années)</t>
        </is>
      </c>
      <c r="B9" s="370" t="n"/>
    </row>
    <row r="11" ht="21" customHeight="1" s="134">
      <c r="A11" s="345" t="inlineStr">
        <is>
          <t>Base fiscale</t>
        </is>
      </c>
      <c r="B11" s="352">
        <f>IF(B6="","",B6)</f>
        <v/>
      </c>
    </row>
    <row r="12" ht="21" customHeight="1" s="134">
      <c r="A12" s="347" t="inlineStr">
        <is>
          <t>Base comptable</t>
        </is>
      </c>
      <c r="B12" s="383">
        <f>IF(B6="","",B6-N(B7))</f>
        <v/>
      </c>
    </row>
    <row r="13" ht="21" customHeight="1" s="134">
      <c r="A13" s="350" t="inlineStr">
        <is>
          <t>Jours à amortir en année N (base 360)</t>
        </is>
      </c>
      <c r="B13" s="372">
        <f>IF(B5="","",DAYS360(B5,DATE(YEAR(B5),12,30))+1)</f>
        <v/>
      </c>
    </row>
    <row r="15" ht="36" customHeight="1" s="134">
      <c r="A15" s="355" t="inlineStr">
        <is>
          <t>Année</t>
        </is>
      </c>
      <c r="B15" s="356" t="inlineStr">
        <is>
          <t>Annuité fiscale</t>
        </is>
      </c>
      <c r="C15" s="356" t="inlineStr">
        <is>
          <t>Cumul fiscal</t>
        </is>
      </c>
      <c r="D15" s="356" t="inlineStr">
        <is>
          <t>Annuité comptable</t>
        </is>
      </c>
      <c r="E15" s="356" t="inlineStr">
        <is>
          <t>Cumul comptable</t>
        </is>
      </c>
      <c r="F15" s="356" t="inlineStr">
        <is>
          <t>Dotation (+) / reprise (-)</t>
        </is>
      </c>
      <c r="G15" s="357" t="inlineStr">
        <is>
          <t>Cumul dérogatoire</t>
        </is>
      </c>
    </row>
    <row r="16" ht="21" customHeight="1" s="134">
      <c r="A16" s="373" t="inlineStr">
        <is>
          <t>N</t>
        </is>
      </c>
      <c r="B16" s="359">
        <f>IF(OR($B$5="",$B$6="",$B$8="",$B$9="",0&gt;MAX($B$8,$B$9)),"",$B$11/$B$8*$B$13/360)</f>
        <v/>
      </c>
      <c r="C16" s="359">
        <f>IF(OR($B$5="",$B$6="",$B$8="",$B$9="",0&gt;MAX($B$8,$B$9)),"",B16)</f>
        <v/>
      </c>
      <c r="D16" s="359">
        <f>IF(OR($B$5="",$B$6="",$B$8="",$B$9="",0&gt;MAX($B$8,$B$9)),"",$B$12/$B$9*$B$13/360)</f>
        <v/>
      </c>
      <c r="E16" s="359">
        <f>IF(OR($B$5="",$B$6="",$B$8="",$B$9="",0&gt;MAX($B$8,$B$9)),"",D16)</f>
        <v/>
      </c>
      <c r="F16" s="359">
        <f>IF(OR($B$5="",$B$6="",$B$8="",$B$9="",0&gt;MAX($B$8,$B$9)),"",B16-D16)</f>
        <v/>
      </c>
      <c r="G16" s="361">
        <f>IF(OR($B$5="",$B$6="",$B$8="",$B$9="",0&gt;MAX($B$8,$B$9)),"",F16)</f>
        <v/>
      </c>
    </row>
    <row r="17" ht="21" customHeight="1" s="134">
      <c r="A17" s="374" t="inlineStr">
        <is>
          <t>N+1</t>
        </is>
      </c>
      <c r="B17" s="363">
        <f>IF(OR($B$5="",$B$6="",$B$8="",$B$9="",1&gt;MAX($B$8,$B$9)),"",IF(1&gt;$B$8,0,IF(1=$B$8,$B$11-C16,$B$11/$B$8)))</f>
        <v/>
      </c>
      <c r="C17" s="363">
        <f>IF(OR($B$5="",$B$6="",$B$8="",$B$9="",1&gt;MAX($B$8,$B$9)),"",C16+B17)</f>
        <v/>
      </c>
      <c r="D17" s="363">
        <f>IF(OR($B$5="",$B$6="",$B$8="",$B$9="",1&gt;MAX($B$8,$B$9)),"",IF(1&gt;$B$9,0,IF(1=$B$9,$B$12-E16,$B$12/$B$9)))</f>
        <v/>
      </c>
      <c r="E17" s="363">
        <f>IF(OR($B$5="",$B$6="",$B$8="",$B$9="",1&gt;MAX($B$8,$B$9)),"",E16+D17)</f>
        <v/>
      </c>
      <c r="F17" s="363">
        <f>IF(OR($B$5="",$B$6="",$B$8="",$B$9="",1&gt;MAX($B$8,$B$9)),"",B17-D17)</f>
        <v/>
      </c>
      <c r="G17" s="365">
        <f>IF(OR($B$5="",$B$6="",$B$8="",$B$9="",1&gt;MAX($B$8,$B$9)),"",G16+F17)</f>
        <v/>
      </c>
    </row>
    <row r="18" ht="21" customHeight="1" s="134">
      <c r="A18" s="373" t="inlineStr">
        <is>
          <t>N+2</t>
        </is>
      </c>
      <c r="B18" s="359">
        <f>IF(OR($B$5="",$B$6="",$B$8="",$B$9="",2&gt;MAX($B$8,$B$9)),"",IF(2&gt;$B$8,0,IF(2=$B$8,$B$11-C17,$B$11/$B$8)))</f>
        <v/>
      </c>
      <c r="C18" s="359">
        <f>IF(OR($B$5="",$B$6="",$B$8="",$B$9="",2&gt;MAX($B$8,$B$9)),"",C17+B18)</f>
        <v/>
      </c>
      <c r="D18" s="359">
        <f>IF(OR($B$5="",$B$6="",$B$8="",$B$9="",2&gt;MAX($B$8,$B$9)),"",IF(2&gt;$B$9,0,IF(2=$B$9,$B$12-E17,$B$12/$B$9)))</f>
        <v/>
      </c>
      <c r="E18" s="359">
        <f>IF(OR($B$5="",$B$6="",$B$8="",$B$9="",2&gt;MAX($B$8,$B$9)),"",E17+D18)</f>
        <v/>
      </c>
      <c r="F18" s="359">
        <f>IF(OR($B$5="",$B$6="",$B$8="",$B$9="",2&gt;MAX($B$8,$B$9)),"",B18-D18)</f>
        <v/>
      </c>
      <c r="G18" s="361">
        <f>IF(OR($B$5="",$B$6="",$B$8="",$B$9="",2&gt;MAX($B$8,$B$9)),"",G17+F18)</f>
        <v/>
      </c>
    </row>
    <row r="19" ht="21" customHeight="1" s="134">
      <c r="A19" s="374" t="inlineStr">
        <is>
          <t>N+3</t>
        </is>
      </c>
      <c r="B19" s="363">
        <f>IF(OR($B$5="",$B$6="",$B$8="",$B$9="",3&gt;MAX($B$8,$B$9)),"",IF(3&gt;$B$8,0,IF(3=$B$8,$B$11-C18,$B$11/$B$8)))</f>
        <v/>
      </c>
      <c r="C19" s="363">
        <f>IF(OR($B$5="",$B$6="",$B$8="",$B$9="",3&gt;MAX($B$8,$B$9)),"",C18+B19)</f>
        <v/>
      </c>
      <c r="D19" s="363">
        <f>IF(OR($B$5="",$B$6="",$B$8="",$B$9="",3&gt;MAX($B$8,$B$9)),"",IF(3&gt;$B$9,0,IF(3=$B$9,$B$12-E18,$B$12/$B$9)))</f>
        <v/>
      </c>
      <c r="E19" s="363">
        <f>IF(OR($B$5="",$B$6="",$B$8="",$B$9="",3&gt;MAX($B$8,$B$9)),"",E18+D19)</f>
        <v/>
      </c>
      <c r="F19" s="363">
        <f>IF(OR($B$5="",$B$6="",$B$8="",$B$9="",3&gt;MAX($B$8,$B$9)),"",B19-D19)</f>
        <v/>
      </c>
      <c r="G19" s="365">
        <f>IF(OR($B$5="",$B$6="",$B$8="",$B$9="",3&gt;MAX($B$8,$B$9)),"",G18+F19)</f>
        <v/>
      </c>
    </row>
    <row r="20" ht="21" customHeight="1" s="134">
      <c r="A20" s="373" t="inlineStr">
        <is>
          <t>N+4</t>
        </is>
      </c>
      <c r="B20" s="359">
        <f>IF(OR($B$5="",$B$6="",$B$8="",$B$9="",4&gt;MAX($B$8,$B$9)),"",IF(4&gt;$B$8,0,IF(4=$B$8,$B$11-C19,$B$11/$B$8)))</f>
        <v/>
      </c>
      <c r="C20" s="359">
        <f>IF(OR($B$5="",$B$6="",$B$8="",$B$9="",4&gt;MAX($B$8,$B$9)),"",C19+B20)</f>
        <v/>
      </c>
      <c r="D20" s="359">
        <f>IF(OR($B$5="",$B$6="",$B$8="",$B$9="",4&gt;MAX($B$8,$B$9)),"",IF(4&gt;$B$9,0,IF(4=$B$9,$B$12-E19,$B$12/$B$9)))</f>
        <v/>
      </c>
      <c r="E20" s="359">
        <f>IF(OR($B$5="",$B$6="",$B$8="",$B$9="",4&gt;MAX($B$8,$B$9)),"",E19+D20)</f>
        <v/>
      </c>
      <c r="F20" s="359">
        <f>IF(OR($B$5="",$B$6="",$B$8="",$B$9="",4&gt;MAX($B$8,$B$9)),"",B20-D20)</f>
        <v/>
      </c>
      <c r="G20" s="361">
        <f>IF(OR($B$5="",$B$6="",$B$8="",$B$9="",4&gt;MAX($B$8,$B$9)),"",G19+F20)</f>
        <v/>
      </c>
    </row>
    <row r="21" ht="21" customHeight="1" s="134">
      <c r="A21" s="374" t="inlineStr">
        <is>
          <t>N+5</t>
        </is>
      </c>
      <c r="B21" s="363">
        <f>IF(OR($B$5="",$B$6="",$B$8="",$B$9="",5&gt;MAX($B$8,$B$9)),"",IF(5&gt;$B$8,0,IF(5=$B$8,$B$11-C20,$B$11/$B$8)))</f>
        <v/>
      </c>
      <c r="C21" s="363">
        <f>IF(OR($B$5="",$B$6="",$B$8="",$B$9="",5&gt;MAX($B$8,$B$9)),"",C20+B21)</f>
        <v/>
      </c>
      <c r="D21" s="363">
        <f>IF(OR($B$5="",$B$6="",$B$8="",$B$9="",5&gt;MAX($B$8,$B$9)),"",IF(5&gt;$B$9,0,IF(5=$B$9,$B$12-E20,$B$12/$B$9)))</f>
        <v/>
      </c>
      <c r="E21" s="363">
        <f>IF(OR($B$5="",$B$6="",$B$8="",$B$9="",5&gt;MAX($B$8,$B$9)),"",E20+D21)</f>
        <v/>
      </c>
      <c r="F21" s="363">
        <f>IF(OR($B$5="",$B$6="",$B$8="",$B$9="",5&gt;MAX($B$8,$B$9)),"",B21-D21)</f>
        <v/>
      </c>
      <c r="G21" s="365">
        <f>IF(OR($B$5="",$B$6="",$B$8="",$B$9="",5&gt;MAX($B$8,$B$9)),"",G20+F21)</f>
        <v/>
      </c>
    </row>
    <row r="22" ht="21" customHeight="1" s="134">
      <c r="A22" s="373" t="inlineStr">
        <is>
          <t>N+6</t>
        </is>
      </c>
      <c r="B22" s="359">
        <f>IF(OR($B$5="",$B$6="",$B$8="",$B$9="",6&gt;MAX($B$8,$B$9)),"",IF(6&gt;$B$8,0,IF(6=$B$8,$B$11-C21,$B$11/$B$8)))</f>
        <v/>
      </c>
      <c r="C22" s="359">
        <f>IF(OR($B$5="",$B$6="",$B$8="",$B$9="",6&gt;MAX($B$8,$B$9)),"",C21+B22)</f>
        <v/>
      </c>
      <c r="D22" s="359">
        <f>IF(OR($B$5="",$B$6="",$B$8="",$B$9="",6&gt;MAX($B$8,$B$9)),"",IF(6&gt;$B$9,0,IF(6=$B$9,$B$12-E21,$B$12/$B$9)))</f>
        <v/>
      </c>
      <c r="E22" s="359">
        <f>IF(OR($B$5="",$B$6="",$B$8="",$B$9="",6&gt;MAX($B$8,$B$9)),"",E21+D22)</f>
        <v/>
      </c>
      <c r="F22" s="359">
        <f>IF(OR($B$5="",$B$6="",$B$8="",$B$9="",6&gt;MAX($B$8,$B$9)),"",B22-D22)</f>
        <v/>
      </c>
      <c r="G22" s="361">
        <f>IF(OR($B$5="",$B$6="",$B$8="",$B$9="",6&gt;MAX($B$8,$B$9)),"",G21+F22)</f>
        <v/>
      </c>
    </row>
    <row r="23" ht="21" customHeight="1" s="134">
      <c r="A23" s="374" t="inlineStr">
        <is>
          <t>N+7</t>
        </is>
      </c>
      <c r="B23" s="363">
        <f>IF(OR($B$5="",$B$6="",$B$8="",$B$9="",7&gt;MAX($B$8,$B$9)),"",IF(7&gt;$B$8,0,IF(7=$B$8,$B$11-C22,$B$11/$B$8)))</f>
        <v/>
      </c>
      <c r="C23" s="363">
        <f>IF(OR($B$5="",$B$6="",$B$8="",$B$9="",7&gt;MAX($B$8,$B$9)),"",C22+B23)</f>
        <v/>
      </c>
      <c r="D23" s="363">
        <f>IF(OR($B$5="",$B$6="",$B$8="",$B$9="",7&gt;MAX($B$8,$B$9)),"",IF(7&gt;$B$9,0,IF(7=$B$9,$B$12-E22,$B$12/$B$9)))</f>
        <v/>
      </c>
      <c r="E23" s="363">
        <f>IF(OR($B$5="",$B$6="",$B$8="",$B$9="",7&gt;MAX($B$8,$B$9)),"",E22+D23)</f>
        <v/>
      </c>
      <c r="F23" s="363">
        <f>IF(OR($B$5="",$B$6="",$B$8="",$B$9="",7&gt;MAX($B$8,$B$9)),"",B23-D23)</f>
        <v/>
      </c>
      <c r="G23" s="365">
        <f>IF(OR($B$5="",$B$6="",$B$8="",$B$9="",7&gt;MAX($B$8,$B$9)),"",G22+F23)</f>
        <v/>
      </c>
    </row>
    <row r="24" ht="21" customHeight="1" s="134">
      <c r="A24" s="373" t="inlineStr">
        <is>
          <t>N+8</t>
        </is>
      </c>
      <c r="B24" s="359">
        <f>IF(OR($B$5="",$B$6="",$B$8="",$B$9="",8&gt;MAX($B$8,$B$9)),"",IF(8&gt;$B$8,0,IF(8=$B$8,$B$11-C23,$B$11/$B$8)))</f>
        <v/>
      </c>
      <c r="C24" s="359">
        <f>IF(OR($B$5="",$B$6="",$B$8="",$B$9="",8&gt;MAX($B$8,$B$9)),"",C23+B24)</f>
        <v/>
      </c>
      <c r="D24" s="359">
        <f>IF(OR($B$5="",$B$6="",$B$8="",$B$9="",8&gt;MAX($B$8,$B$9)),"",IF(8&gt;$B$9,0,IF(8=$B$9,$B$12-E23,$B$12/$B$9)))</f>
        <v/>
      </c>
      <c r="E24" s="359">
        <f>IF(OR($B$5="",$B$6="",$B$8="",$B$9="",8&gt;MAX($B$8,$B$9)),"",E23+D24)</f>
        <v/>
      </c>
      <c r="F24" s="359">
        <f>IF(OR($B$5="",$B$6="",$B$8="",$B$9="",8&gt;MAX($B$8,$B$9)),"",B24-D24)</f>
        <v/>
      </c>
      <c r="G24" s="361">
        <f>IF(OR($B$5="",$B$6="",$B$8="",$B$9="",8&gt;MAX($B$8,$B$9)),"",G23+F24)</f>
        <v/>
      </c>
    </row>
    <row r="25" ht="21" customHeight="1" s="134">
      <c r="A25" s="374" t="inlineStr">
        <is>
          <t>N+9</t>
        </is>
      </c>
      <c r="B25" s="363">
        <f>IF(OR($B$5="",$B$6="",$B$8="",$B$9="",9&gt;MAX($B$8,$B$9)),"",IF(9&gt;$B$8,0,IF(9=$B$8,$B$11-C24,$B$11/$B$8)))</f>
        <v/>
      </c>
      <c r="C25" s="363">
        <f>IF(OR($B$5="",$B$6="",$B$8="",$B$9="",9&gt;MAX($B$8,$B$9)),"",C24+B25)</f>
        <v/>
      </c>
      <c r="D25" s="363">
        <f>IF(OR($B$5="",$B$6="",$B$8="",$B$9="",9&gt;MAX($B$8,$B$9)),"",IF(9&gt;$B$9,0,IF(9=$B$9,$B$12-E24,$B$12/$B$9)))</f>
        <v/>
      </c>
      <c r="E25" s="363">
        <f>IF(OR($B$5="",$B$6="",$B$8="",$B$9="",9&gt;MAX($B$8,$B$9)),"",E24+D25)</f>
        <v/>
      </c>
      <c r="F25" s="363">
        <f>IF(OR($B$5="",$B$6="",$B$8="",$B$9="",9&gt;MAX($B$8,$B$9)),"",B25-D25)</f>
        <v/>
      </c>
      <c r="G25" s="365">
        <f>IF(OR($B$5="",$B$6="",$B$8="",$B$9="",9&gt;MAX($B$8,$B$9)),"",G24+F25)</f>
        <v/>
      </c>
    </row>
    <row r="26" ht="21" customHeight="1" s="134">
      <c r="A26" s="384" t="inlineStr">
        <is>
          <t>N+10</t>
        </is>
      </c>
      <c r="B26" s="367">
        <f>IF(OR($B$5="",$B$6="",$B$8="",$B$9="",10&gt;MAX($B$8,$B$9)),"",IF(10&gt;$B$8,0,IF(10=$B$8,$B$11-C25,$B$11/$B$8)))</f>
        <v/>
      </c>
      <c r="C26" s="367">
        <f>IF(OR($B$5="",$B$6="",$B$8="",$B$9="",10&gt;MAX($B$8,$B$9)),"",C25+B26)</f>
        <v/>
      </c>
      <c r="D26" s="367">
        <f>IF(OR($B$5="",$B$6="",$B$8="",$B$9="",10&gt;MAX($B$8,$B$9)),"",IF(10&gt;$B$9,0,IF(10=$B$9,$B$12-E25,$B$12/$B$9)))</f>
        <v/>
      </c>
      <c r="E26" s="367">
        <f>IF(OR($B$5="",$B$6="",$B$8="",$B$9="",10&gt;MAX($B$8,$B$9)),"",E25+D26)</f>
        <v/>
      </c>
      <c r="F26" s="367">
        <f>IF(OR($B$5="",$B$6="",$B$8="",$B$9="",10&gt;MAX($B$8,$B$9)),"",B26-D26)</f>
        <v/>
      </c>
      <c r="G26" s="369">
        <f>IF(OR($B$5="",$B$6="",$B$8="",$B$9="",10&gt;MAX($B$8,$B$9)),"",G25+F26)</f>
        <v/>
      </c>
    </row>
    <row r="28">
      <c r="A28" s="78" t="inlineStr">
        <is>
          <t>Amortissement comptable + dérogatoire = amortissement fiscal. Le cumul dérogatoire revient à zéro en fin de période.</t>
        </is>
      </c>
    </row>
    <row r="30" ht="22" customHeight="1" s="134">
      <c r="A30" s="203" t="inlineStr">
        <is>
          <t>Comment ça marche : les formules, cellule par cellule</t>
        </is>
      </c>
      <c r="B30" s="532" t="n"/>
      <c r="C30" s="532" t="n"/>
      <c r="D30" s="532" t="n"/>
      <c r="E30" s="532" t="n"/>
      <c r="F30" s="532" t="n"/>
      <c r="G30" s="532" t="n"/>
      <c r="H30" s="532" t="n"/>
      <c r="I30" s="532" t="n"/>
      <c r="J30" s="532" t="n"/>
      <c r="K30" s="533" t="n"/>
    </row>
    <row r="31" ht="21" customHeight="1" s="134">
      <c r="A31" s="309" t="inlineStr">
        <is>
          <t>Cellules jaunes : nature, date de mise en service, coût, valeur résiduelle, durées fiscale et comptable à saisir.</t>
        </is>
      </c>
      <c r="B31" s="532" t="n"/>
      <c r="C31" s="532" t="n"/>
      <c r="D31" s="532" t="n"/>
      <c r="E31" s="532" t="n"/>
      <c r="F31" s="532" t="n"/>
      <c r="G31" s="532" t="n"/>
      <c r="H31" s="532" t="n"/>
      <c r="I31" s="532" t="n"/>
      <c r="J31" s="532" t="n"/>
      <c r="K31" s="533" t="n"/>
    </row>
    <row r="32">
      <c r="A32" s="204" t="inlineStr">
        <is>
          <t>Cellule(s)</t>
        </is>
      </c>
      <c r="B32" s="204" t="inlineStr">
        <is>
          <t>Formule (Excel en français)</t>
        </is>
      </c>
      <c r="C32" s="532" t="n"/>
      <c r="D32" s="533" t="n"/>
      <c r="E32" s="204" t="inlineStr">
        <is>
          <t>Ce qu'elle fait</t>
        </is>
      </c>
      <c r="F32" s="532" t="n"/>
      <c r="G32" s="532" t="n"/>
      <c r="H32" s="532" t="n"/>
      <c r="I32" s="532" t="n"/>
      <c r="J32" s="532" t="n"/>
      <c r="K32" s="533" t="n"/>
    </row>
    <row r="33" ht="19" customHeight="1" s="134">
      <c r="A33" s="205" t="inlineStr">
        <is>
          <t>B11</t>
        </is>
      </c>
      <c r="B33" s="206" t="inlineStr">
        <is>
          <t>=B6</t>
        </is>
      </c>
      <c r="C33" s="532" t="n"/>
      <c r="D33" s="533" t="n"/>
      <c r="E33" s="200" t="inlineStr">
        <is>
          <t>Base fiscale : coût d'acquisition.</t>
        </is>
      </c>
      <c r="F33" s="532" t="n"/>
      <c r="G33" s="532" t="n"/>
      <c r="H33" s="532" t="n"/>
      <c r="I33" s="532" t="n"/>
      <c r="J33" s="532" t="n"/>
      <c r="K33" s="533" t="n"/>
    </row>
    <row r="34" ht="19" customHeight="1" s="134">
      <c r="A34" s="207" t="inlineStr">
        <is>
          <t>B12</t>
        </is>
      </c>
      <c r="B34" s="208" t="inlineStr">
        <is>
          <t>=B6-B7</t>
        </is>
      </c>
      <c r="C34" s="532" t="n"/>
      <c r="D34" s="533" t="n"/>
      <c r="E34" s="202" t="inlineStr">
        <is>
          <t>Base comptable : coût d'acquisition moins valeur résiduelle.</t>
        </is>
      </c>
      <c r="F34" s="532" t="n"/>
      <c r="G34" s="532" t="n"/>
      <c r="H34" s="532" t="n"/>
      <c r="I34" s="532" t="n"/>
      <c r="J34" s="532" t="n"/>
      <c r="K34" s="533" t="n"/>
    </row>
    <row r="35" ht="19" customHeight="1" s="134">
      <c r="A35" s="205" t="inlineStr">
        <is>
          <t>B13</t>
        </is>
      </c>
      <c r="B35" s="206" t="inlineStr">
        <is>
          <t>=JOURS360(B5;DATE(ANNEE(B5);12;30))+1</t>
        </is>
      </c>
      <c r="C35" s="532" t="n"/>
      <c r="D35" s="533" t="n"/>
      <c r="E35" s="200" t="inlineStr">
        <is>
          <t>Jours à amortir la première année (base 360).</t>
        </is>
      </c>
      <c r="F35" s="532" t="n"/>
      <c r="G35" s="532" t="n"/>
      <c r="H35" s="532" t="n"/>
      <c r="I35" s="532" t="n"/>
      <c r="J35" s="532" t="n"/>
      <c r="K35" s="533" t="n"/>
    </row>
    <row r="36" ht="19" customHeight="1" s="134">
      <c r="A36" s="207" t="inlineStr">
        <is>
          <t>B16 · D16</t>
        </is>
      </c>
      <c r="B36" s="208" t="inlineStr">
        <is>
          <t>=B11/B8*B13/360   ·   =B12/B9*B13/360</t>
        </is>
      </c>
      <c r="C36" s="532" t="n"/>
      <c r="D36" s="533" t="n"/>
      <c r="E36" s="202" t="inlineStr">
        <is>
          <t>Première annuité fiscale et première annuité comptable, au prorata des jours.</t>
        </is>
      </c>
      <c r="F36" s="532" t="n"/>
      <c r="G36" s="532" t="n"/>
      <c r="H36" s="532" t="n"/>
      <c r="I36" s="532" t="n"/>
      <c r="J36" s="532" t="n"/>
      <c r="K36" s="533" t="n"/>
    </row>
    <row r="37" ht="19" customHeight="1" s="134">
      <c r="A37" s="205" t="inlineStr">
        <is>
          <t>B17:B26</t>
        </is>
      </c>
      <c r="B37" s="206" t="inlineStr">
        <is>
          <t>=SI(n&gt;B8;0;SI(n=B8;B11-C16;B11/B8))</t>
        </is>
      </c>
      <c r="C37" s="532" t="n"/>
      <c r="D37" s="533" t="n"/>
      <c r="E37" s="200" t="inlineStr">
        <is>
          <t>Annuité fiscale : pleine chaque année, solde la dernière année, zéro ensuite.</t>
        </is>
      </c>
      <c r="F37" s="532" t="n"/>
      <c r="G37" s="532" t="n"/>
      <c r="H37" s="532" t="n"/>
      <c r="I37" s="532" t="n"/>
      <c r="J37" s="532" t="n"/>
      <c r="K37" s="533" t="n"/>
    </row>
    <row r="38" ht="19" customHeight="1" s="134">
      <c r="A38" s="207" t="inlineStr">
        <is>
          <t>D17:D26</t>
        </is>
      </c>
      <c r="B38" s="208" t="inlineStr">
        <is>
          <t>=SI(n&gt;B9;0;SI(n=B9;B12-E16;B12/B9))</t>
        </is>
      </c>
      <c r="C38" s="532" t="n"/>
      <c r="D38" s="533" t="n"/>
      <c r="E38" s="202" t="inlineStr">
        <is>
          <t>Annuité comptable : même logique avec la base et la durée comptables.</t>
        </is>
      </c>
      <c r="F38" s="532" t="n"/>
      <c r="G38" s="532" t="n"/>
      <c r="H38" s="532" t="n"/>
      <c r="I38" s="532" t="n"/>
      <c r="J38" s="532" t="n"/>
      <c r="K38" s="533" t="n"/>
    </row>
    <row r="39" ht="19" customHeight="1" s="134">
      <c r="A39" s="205" t="inlineStr">
        <is>
          <t>C · E</t>
        </is>
      </c>
      <c r="B39" s="206" t="inlineStr">
        <is>
          <t>=B16 puis =C16+B17  ·  =D16 puis =E16+D17</t>
        </is>
      </c>
      <c r="C39" s="532" t="n"/>
      <c r="D39" s="533" t="n"/>
      <c r="E39" s="200" t="inlineStr">
        <is>
          <t>Cumul fiscal et cumul comptable.</t>
        </is>
      </c>
      <c r="F39" s="532" t="n"/>
      <c r="G39" s="532" t="n"/>
      <c r="H39" s="532" t="n"/>
      <c r="I39" s="532" t="n"/>
      <c r="J39" s="532" t="n"/>
      <c r="K39" s="533" t="n"/>
    </row>
    <row r="40" ht="19" customHeight="1" s="134">
      <c r="A40" s="207" t="inlineStr">
        <is>
          <t>F16:F26</t>
        </is>
      </c>
      <c r="B40" s="208" t="inlineStr">
        <is>
          <t>=B16-D16</t>
        </is>
      </c>
      <c r="C40" s="532" t="n"/>
      <c r="D40" s="533" t="n"/>
      <c r="E40" s="202" t="inlineStr">
        <is>
          <t>Dotation (+) ou reprise (−) dérogatoire : annuité fiscale moins annuité comptable.</t>
        </is>
      </c>
      <c r="F40" s="532" t="n"/>
      <c r="G40" s="532" t="n"/>
      <c r="H40" s="532" t="n"/>
      <c r="I40" s="532" t="n"/>
      <c r="J40" s="532" t="n"/>
      <c r="K40" s="533" t="n"/>
    </row>
    <row r="41" ht="19" customHeight="1" s="134">
      <c r="A41" s="205" t="inlineStr">
        <is>
          <t>G16:G26</t>
        </is>
      </c>
      <c r="B41" s="206" t="inlineStr">
        <is>
          <t>=F16   puis   =G16+F17</t>
        </is>
      </c>
      <c r="C41" s="532" t="n"/>
      <c r="D41" s="533" t="n"/>
      <c r="E41" s="200" t="inlineStr">
        <is>
          <t>Cumul dérogatoire. Il revient à zéro en fin de période.</t>
        </is>
      </c>
      <c r="F41" s="532" t="n"/>
      <c r="G41" s="532" t="n"/>
      <c r="H41" s="532" t="n"/>
      <c r="I41" s="532" t="n"/>
      <c r="J41" s="532" t="n"/>
      <c r="K41" s="533" t="n"/>
    </row>
  </sheetData>
  <mergeCells count="22">
    <mergeCell ref="E36:K36"/>
    <mergeCell ref="A30:K30"/>
    <mergeCell ref="E32:K32"/>
    <mergeCell ref="E41:K41"/>
    <mergeCell ref="B38:D38"/>
    <mergeCell ref="B34:D34"/>
    <mergeCell ref="E37:K37"/>
    <mergeCell ref="B37:D37"/>
    <mergeCell ref="B40:D40"/>
    <mergeCell ref="E33:K33"/>
    <mergeCell ref="B33:D33"/>
    <mergeCell ref="E39:K39"/>
    <mergeCell ref="B36:D36"/>
    <mergeCell ref="B41:D41"/>
    <mergeCell ref="B32:D32"/>
    <mergeCell ref="B35:D35"/>
    <mergeCell ref="E35:K35"/>
    <mergeCell ref="E38:K38"/>
    <mergeCell ref="E40:K40"/>
    <mergeCell ref="E34:K34"/>
    <mergeCell ref="B39:D39"/>
    <mergeCell ref="A31:K31"/>
  </mergeCells>
  <pageMargins left="0.75" right="0.75" top="1" bottom="1" header="0.5" footer="0.5"/>
  <pageSetup orientation="landscape" fitToHeight="0" fitToWidth="1"/>
</worksheet>
</file>

<file path=xl/worksheets/sheet10.xml><?xml version="1.0" encoding="utf-8"?>
<worksheet xmlns="http://schemas.openxmlformats.org/spreadsheetml/2006/main">
  <sheetPr>
    <tabColor rgb="000ACFCF"/>
    <outlinePr summaryBelow="1" summaryRight="1"/>
    <pageSetUpPr fitToPage="1"/>
  </sheetPr>
  <dimension ref="A1:H41"/>
  <sheetViews>
    <sheetView topLeftCell="A9" workbookViewId="0">
      <selection activeCell="C13" sqref="C13"/>
    </sheetView>
  </sheetViews>
  <sheetFormatPr baseColWidth="10" defaultColWidth="8.7265625" defaultRowHeight="14.5"/>
  <cols>
    <col width="30" customWidth="1" style="134" min="1" max="1"/>
    <col width="26" customWidth="1" style="134" min="2" max="2"/>
    <col width="16" customWidth="1" style="134" min="3" max="3"/>
    <col width="24" customWidth="1" style="134" min="4" max="4"/>
    <col width="16" customWidth="1" style="134" min="5" max="5"/>
    <col width="26" customWidth="1" style="134" min="6" max="6"/>
    <col width="13" customWidth="1" style="134" min="7" max="7"/>
    <col width="13" customWidth="1" style="134" min="8" max="8"/>
  </cols>
  <sheetData>
    <row r="1" ht="18.5" customHeight="1" s="134">
      <c r="A1" s="77" t="inlineStr">
        <is>
          <t>Trame d'emprunt à annuité constante</t>
        </is>
      </c>
    </row>
    <row r="2">
      <c r="A2" s="78" t="inlineStr">
        <is>
          <t>Complétez les cellules jaunes : le tableau d'amortissement de l'emprunt se calcule automatiquement.</t>
        </is>
      </c>
    </row>
    <row r="4" ht="21" customHeight="1" s="134">
      <c r="A4" s="345" t="inlineStr">
        <is>
          <t>Montant emprunté</t>
        </is>
      </c>
      <c r="B4" s="385" t="n"/>
    </row>
    <row r="5" ht="21" customHeight="1" s="134">
      <c r="A5" s="347" t="inlineStr">
        <is>
          <t>Taux d'intérêt annuel</t>
        </is>
      </c>
      <c r="B5" s="386" t="n"/>
    </row>
    <row r="6" ht="21" customHeight="1" s="134">
      <c r="A6" s="347" t="inlineStr">
        <is>
          <t>Durée (années)</t>
        </is>
      </c>
      <c r="B6" s="387" t="n"/>
    </row>
    <row r="7" ht="21" customHeight="1" s="134">
      <c r="A7" s="350" t="inlineStr">
        <is>
          <t>Date de la première échéance</t>
        </is>
      </c>
      <c r="B7" s="388" t="n"/>
    </row>
    <row r="9" ht="21" customHeight="1" s="134">
      <c r="A9" s="389" t="inlineStr">
        <is>
          <t>Annuité constante</t>
        </is>
      </c>
      <c r="B9" s="390">
        <f>IF(OR(B4="",B5="",B6=""),"",B4*B5/(1-(1+B5)^-B6))</f>
        <v/>
      </c>
    </row>
    <row r="11" ht="36" customHeight="1" s="134">
      <c r="A11" s="355" t="inlineStr">
        <is>
          <t>Échéance</t>
        </is>
      </c>
      <c r="B11" s="356" t="inlineStr">
        <is>
          <t>Capital restant dû en début de période</t>
        </is>
      </c>
      <c r="C11" s="356" t="inlineStr">
        <is>
          <t>Intérêts</t>
        </is>
      </c>
      <c r="D11" s="356" t="inlineStr">
        <is>
          <t>Amortissement du capital</t>
        </is>
      </c>
      <c r="E11" s="356" t="inlineStr">
        <is>
          <t>Annuité</t>
        </is>
      </c>
      <c r="F11" s="357" t="inlineStr">
        <is>
          <t>Capital restant dû en fin de période</t>
        </is>
      </c>
    </row>
    <row r="12" ht="21" customHeight="1" s="134">
      <c r="A12" s="391">
        <f>IF(OR(OR($B$9="",1&gt;$B$6),$B$7=""),"",EDATE($B$7,12*0))</f>
        <v/>
      </c>
      <c r="B12" s="359">
        <f>IF(OR($B$9="",1&gt;$B$6),"",$B$4)</f>
        <v/>
      </c>
      <c r="C12" s="359">
        <f>IF(OR($B$9="",1&gt;$B$6),"",B12*$B$5)</f>
        <v/>
      </c>
      <c r="D12" s="359">
        <f>IF(OR($B$9="",1&gt;$B$6),"",E12-C12)</f>
        <v/>
      </c>
      <c r="E12" s="359">
        <f>IF(OR($B$9="",1&gt;$B$6),"",$B$9)</f>
        <v/>
      </c>
      <c r="F12" s="361">
        <f>IF(OR($B$9="",1&gt;$B$6),"",B12-D12)</f>
        <v/>
      </c>
    </row>
    <row r="13" ht="21" customHeight="1" s="134">
      <c r="A13" s="392">
        <f>IF(OR(OR($B$9="",2&gt;$B$6),$B$7=""),"",EDATE($B$7,12*1))</f>
        <v/>
      </c>
      <c r="B13" s="363">
        <f>IF(OR($B$9="",2&gt;$B$6),"",F12)</f>
        <v/>
      </c>
      <c r="C13" s="363">
        <f>IF(OR($B$9="",2&gt;$B$6),"",B13*$B$5)</f>
        <v/>
      </c>
      <c r="D13" s="363">
        <f>IF(OR($B$9="",2&gt;$B$6),"",E13-C13)</f>
        <v/>
      </c>
      <c r="E13" s="363">
        <f>IF(OR($B$9="",2&gt;$B$6),"",$B$9)</f>
        <v/>
      </c>
      <c r="F13" s="365">
        <f>IF(OR($B$9="",2&gt;$B$6),"",B13-D13)</f>
        <v/>
      </c>
    </row>
    <row r="14" ht="21" customHeight="1" s="134">
      <c r="A14" s="391">
        <f>IF(OR(OR($B$9="",3&gt;$B$6),$B$7=""),"",EDATE($B$7,12*2))</f>
        <v/>
      </c>
      <c r="B14" s="359">
        <f>IF(OR($B$9="",3&gt;$B$6),"",F13)</f>
        <v/>
      </c>
      <c r="C14" s="359">
        <f>IF(OR($B$9="",3&gt;$B$6),"",B14*$B$5)</f>
        <v/>
      </c>
      <c r="D14" s="359">
        <f>IF(OR($B$9="",3&gt;$B$6),"",E14-C14)</f>
        <v/>
      </c>
      <c r="E14" s="359">
        <f>IF(OR($B$9="",3&gt;$B$6),"",$B$9)</f>
        <v/>
      </c>
      <c r="F14" s="361">
        <f>IF(OR($B$9="",3&gt;$B$6),"",B14-D14)</f>
        <v/>
      </c>
    </row>
    <row r="15" ht="21" customHeight="1" s="134">
      <c r="A15" s="392">
        <f>IF(OR(OR($B$9="",4&gt;$B$6),$B$7=""),"",EDATE($B$7,12*3))</f>
        <v/>
      </c>
      <c r="B15" s="363">
        <f>IF(OR($B$9="",4&gt;$B$6),"",F14)</f>
        <v/>
      </c>
      <c r="C15" s="363">
        <f>IF(OR($B$9="",4&gt;$B$6),"",B15*$B$5)</f>
        <v/>
      </c>
      <c r="D15" s="363">
        <f>IF(OR($B$9="",4&gt;$B$6),"",E15-C15)</f>
        <v/>
      </c>
      <c r="E15" s="363">
        <f>IF(OR($B$9="",4&gt;$B$6),"",$B$9)</f>
        <v/>
      </c>
      <c r="F15" s="365">
        <f>IF(OR($B$9="",4&gt;$B$6),"",B15-D15)</f>
        <v/>
      </c>
    </row>
    <row r="16" ht="21" customHeight="1" s="134">
      <c r="A16" s="391">
        <f>IF(OR(OR($B$9="",5&gt;$B$6),$B$7=""),"",EDATE($B$7,12*4))</f>
        <v/>
      </c>
      <c r="B16" s="359">
        <f>IF(OR($B$9="",5&gt;$B$6),"",F15)</f>
        <v/>
      </c>
      <c r="C16" s="359">
        <f>IF(OR($B$9="",5&gt;$B$6),"",B16*$B$5)</f>
        <v/>
      </c>
      <c r="D16" s="359">
        <f>IF(OR($B$9="",5&gt;$B$6),"",E16-C16)</f>
        <v/>
      </c>
      <c r="E16" s="359">
        <f>IF(OR($B$9="",5&gt;$B$6),"",$B$9)</f>
        <v/>
      </c>
      <c r="F16" s="361">
        <f>IF(OR($B$9="",5&gt;$B$6),"",B16-D16)</f>
        <v/>
      </c>
    </row>
    <row r="17" ht="21" customHeight="1" s="134">
      <c r="A17" s="392">
        <f>IF(OR(OR($B$9="",6&gt;$B$6),$B$7=""),"",EDATE($B$7,12*5))</f>
        <v/>
      </c>
      <c r="B17" s="363">
        <f>IF(OR($B$9="",6&gt;$B$6),"",F16)</f>
        <v/>
      </c>
      <c r="C17" s="363">
        <f>IF(OR($B$9="",6&gt;$B$6),"",B17*$B$5)</f>
        <v/>
      </c>
      <c r="D17" s="363">
        <f>IF(OR($B$9="",6&gt;$B$6),"",E17-C17)</f>
        <v/>
      </c>
      <c r="E17" s="363">
        <f>IF(OR($B$9="",6&gt;$B$6),"",$B$9)</f>
        <v/>
      </c>
      <c r="F17" s="365">
        <f>IF(OR($B$9="",6&gt;$B$6),"",B17-D17)</f>
        <v/>
      </c>
    </row>
    <row r="18" ht="21" customHeight="1" s="134">
      <c r="A18" s="391">
        <f>IF(OR(OR($B$9="",7&gt;$B$6),$B$7=""),"",EDATE($B$7,12*6))</f>
        <v/>
      </c>
      <c r="B18" s="359">
        <f>IF(OR($B$9="",7&gt;$B$6),"",F17)</f>
        <v/>
      </c>
      <c r="C18" s="359">
        <f>IF(OR($B$9="",7&gt;$B$6),"",B18*$B$5)</f>
        <v/>
      </c>
      <c r="D18" s="359">
        <f>IF(OR($B$9="",7&gt;$B$6),"",E18-C18)</f>
        <v/>
      </c>
      <c r="E18" s="359">
        <f>IF(OR($B$9="",7&gt;$B$6),"",$B$9)</f>
        <v/>
      </c>
      <c r="F18" s="361">
        <f>IF(OR($B$9="",7&gt;$B$6),"",B18-D18)</f>
        <v/>
      </c>
    </row>
    <row r="19" ht="21" customHeight="1" s="134">
      <c r="A19" s="392">
        <f>IF(OR(OR($B$9="",8&gt;$B$6),$B$7=""),"",EDATE($B$7,12*7))</f>
        <v/>
      </c>
      <c r="B19" s="363">
        <f>IF(OR($B$9="",8&gt;$B$6),"",F18)</f>
        <v/>
      </c>
      <c r="C19" s="363">
        <f>IF(OR($B$9="",8&gt;$B$6),"",B19*$B$5)</f>
        <v/>
      </c>
      <c r="D19" s="363">
        <f>IF(OR($B$9="",8&gt;$B$6),"",E19-C19)</f>
        <v/>
      </c>
      <c r="E19" s="363">
        <f>IF(OR($B$9="",8&gt;$B$6),"",$B$9)</f>
        <v/>
      </c>
      <c r="F19" s="365">
        <f>IF(OR($B$9="",8&gt;$B$6),"",B19-D19)</f>
        <v/>
      </c>
    </row>
    <row r="20" ht="21" customHeight="1" s="134">
      <c r="A20" s="391">
        <f>IF(OR(OR($B$9="",9&gt;$B$6),$B$7=""),"",EDATE($B$7,12*8))</f>
        <v/>
      </c>
      <c r="B20" s="359">
        <f>IF(OR($B$9="",9&gt;$B$6),"",F19)</f>
        <v/>
      </c>
      <c r="C20" s="359">
        <f>IF(OR($B$9="",9&gt;$B$6),"",B20*$B$5)</f>
        <v/>
      </c>
      <c r="D20" s="359">
        <f>IF(OR($B$9="",9&gt;$B$6),"",E20-C20)</f>
        <v/>
      </c>
      <c r="E20" s="359">
        <f>IF(OR($B$9="",9&gt;$B$6),"",$B$9)</f>
        <v/>
      </c>
      <c r="F20" s="361">
        <f>IF(OR($B$9="",9&gt;$B$6),"",B20-D20)</f>
        <v/>
      </c>
    </row>
    <row r="21" ht="21" customHeight="1" s="134">
      <c r="A21" s="392">
        <f>IF(OR(OR($B$9="",10&gt;$B$6),$B$7=""),"",EDATE($B$7,12*9))</f>
        <v/>
      </c>
      <c r="B21" s="363">
        <f>IF(OR($B$9="",10&gt;$B$6),"",F20)</f>
        <v/>
      </c>
      <c r="C21" s="363">
        <f>IF(OR($B$9="",10&gt;$B$6),"",B21*$B$5)</f>
        <v/>
      </c>
      <c r="D21" s="363">
        <f>IF(OR($B$9="",10&gt;$B$6),"",E21-C21)</f>
        <v/>
      </c>
      <c r="E21" s="363">
        <f>IF(OR($B$9="",10&gt;$B$6),"",$B$9)</f>
        <v/>
      </c>
      <c r="F21" s="365">
        <f>IF(OR($B$9="",10&gt;$B$6),"",B21-D21)</f>
        <v/>
      </c>
    </row>
    <row r="22" ht="21" customHeight="1" s="134">
      <c r="A22" s="391">
        <f>IF(OR(OR($B$9="",11&gt;$B$6),$B$7=""),"",EDATE($B$7,12*10))</f>
        <v/>
      </c>
      <c r="B22" s="359">
        <f>IF(OR($B$9="",11&gt;$B$6),"",F21)</f>
        <v/>
      </c>
      <c r="C22" s="359">
        <f>IF(OR($B$9="",11&gt;$B$6),"",B22*$B$5)</f>
        <v/>
      </c>
      <c r="D22" s="359">
        <f>IF(OR($B$9="",11&gt;$B$6),"",E22-C22)</f>
        <v/>
      </c>
      <c r="E22" s="359">
        <f>IF(OR($B$9="",11&gt;$B$6),"",$B$9)</f>
        <v/>
      </c>
      <c r="F22" s="361">
        <f>IF(OR($B$9="",11&gt;$B$6),"",B22-D22)</f>
        <v/>
      </c>
    </row>
    <row r="23" ht="21" customHeight="1" s="134">
      <c r="A23" s="392">
        <f>IF(OR(OR($B$9="",12&gt;$B$6),$B$7=""),"",EDATE($B$7,12*11))</f>
        <v/>
      </c>
      <c r="B23" s="363">
        <f>IF(OR($B$9="",12&gt;$B$6),"",F22)</f>
        <v/>
      </c>
      <c r="C23" s="363">
        <f>IF(OR($B$9="",12&gt;$B$6),"",B23*$B$5)</f>
        <v/>
      </c>
      <c r="D23" s="363">
        <f>IF(OR($B$9="",12&gt;$B$6),"",E23-C23)</f>
        <v/>
      </c>
      <c r="E23" s="363">
        <f>IF(OR($B$9="",12&gt;$B$6),"",$B$9)</f>
        <v/>
      </c>
      <c r="F23" s="365">
        <f>IF(OR($B$9="",12&gt;$B$6),"",B23-D23)</f>
        <v/>
      </c>
    </row>
    <row r="24" ht="21" customHeight="1" s="134">
      <c r="A24" s="391">
        <f>IF(OR(OR($B$9="",13&gt;$B$6),$B$7=""),"",EDATE($B$7,12*12))</f>
        <v/>
      </c>
      <c r="B24" s="359">
        <f>IF(OR($B$9="",13&gt;$B$6),"",F23)</f>
        <v/>
      </c>
      <c r="C24" s="359">
        <f>IF(OR($B$9="",13&gt;$B$6),"",B24*$B$5)</f>
        <v/>
      </c>
      <c r="D24" s="359">
        <f>IF(OR($B$9="",13&gt;$B$6),"",E24-C24)</f>
        <v/>
      </c>
      <c r="E24" s="359">
        <f>IF(OR($B$9="",13&gt;$B$6),"",$B$9)</f>
        <v/>
      </c>
      <c r="F24" s="361">
        <f>IF(OR($B$9="",13&gt;$B$6),"",B24-D24)</f>
        <v/>
      </c>
    </row>
    <row r="25" ht="21" customHeight="1" s="134">
      <c r="A25" s="392">
        <f>IF(OR(OR($B$9="",14&gt;$B$6),$B$7=""),"",EDATE($B$7,12*13))</f>
        <v/>
      </c>
      <c r="B25" s="363">
        <f>IF(OR($B$9="",14&gt;$B$6),"",F24)</f>
        <v/>
      </c>
      <c r="C25" s="363">
        <f>IF(OR($B$9="",14&gt;$B$6),"",B25*$B$5)</f>
        <v/>
      </c>
      <c r="D25" s="363">
        <f>IF(OR($B$9="",14&gt;$B$6),"",E25-C25)</f>
        <v/>
      </c>
      <c r="E25" s="363">
        <f>IF(OR($B$9="",14&gt;$B$6),"",$B$9)</f>
        <v/>
      </c>
      <c r="F25" s="365">
        <f>IF(OR($B$9="",14&gt;$B$6),"",B25-D25)</f>
        <v/>
      </c>
    </row>
    <row r="26" ht="21" customHeight="1" s="134">
      <c r="A26" s="391">
        <f>IF(OR(OR($B$9="",15&gt;$B$6),$B$7=""),"",EDATE($B$7,12*14))</f>
        <v/>
      </c>
      <c r="B26" s="359">
        <f>IF(OR($B$9="",15&gt;$B$6),"",F25)</f>
        <v/>
      </c>
      <c r="C26" s="359">
        <f>IF(OR($B$9="",15&gt;$B$6),"",B26*$B$5)</f>
        <v/>
      </c>
      <c r="D26" s="359">
        <f>IF(OR($B$9="",15&gt;$B$6),"",E26-C26)</f>
        <v/>
      </c>
      <c r="E26" s="359">
        <f>IF(OR($B$9="",15&gt;$B$6),"",$B$9)</f>
        <v/>
      </c>
      <c r="F26" s="361">
        <f>IF(OR($B$9="",15&gt;$B$6),"",B26-D26)</f>
        <v/>
      </c>
    </row>
    <row r="27" ht="21" customHeight="1" s="134">
      <c r="A27" s="393" t="inlineStr">
        <is>
          <t>TOTAL</t>
        </is>
      </c>
      <c r="B27" s="394" t="n"/>
      <c r="C27" s="395">
        <f>SUM(C12:C26)</f>
        <v/>
      </c>
      <c r="D27" s="395">
        <f>SUM(D12:D26)</f>
        <v/>
      </c>
      <c r="E27" s="395">
        <f>SUM(E12:E26)</f>
        <v/>
      </c>
      <c r="F27" s="396" t="n"/>
    </row>
    <row r="29">
      <c r="A29" s="78" t="inlineStr">
        <is>
          <t>Rappel : annuité = capital x taux / (1 - (1 + taux)^-durée) ; amortissement = annuité - intérêts.</t>
        </is>
      </c>
    </row>
    <row r="31" ht="22" customHeight="1" s="134">
      <c r="A31" s="203" t="inlineStr">
        <is>
          <t>Comment ça marche : les formules, cellule par cellule</t>
        </is>
      </c>
      <c r="B31" s="532" t="n"/>
      <c r="C31" s="532" t="n"/>
      <c r="D31" s="532" t="n"/>
      <c r="E31" s="532" t="n"/>
      <c r="F31" s="532" t="n"/>
      <c r="G31" s="532" t="n"/>
      <c r="H31" s="533" t="n"/>
    </row>
    <row r="32" ht="33" customHeight="1" s="134">
      <c r="A32" s="309" t="inlineStr">
        <is>
          <t>Cellules jaunes : montant, taux, durée et date de la première échéance à saisir. Le tableau compte au maximum 15 échéances ; les lignes au-delà de la durée restent vides.</t>
        </is>
      </c>
      <c r="B32" s="532" t="n"/>
      <c r="C32" s="532" t="n"/>
      <c r="D32" s="532" t="n"/>
      <c r="E32" s="532" t="n"/>
      <c r="F32" s="532" t="n"/>
      <c r="G32" s="532" t="n"/>
      <c r="H32" s="533" t="n"/>
    </row>
    <row r="33">
      <c r="A33" s="204" t="inlineStr">
        <is>
          <t>Cellule(s)</t>
        </is>
      </c>
      <c r="B33" s="204" t="inlineStr">
        <is>
          <t>Formule (Excel en français)</t>
        </is>
      </c>
      <c r="C33" s="533" t="n"/>
      <c r="D33" s="204" t="inlineStr">
        <is>
          <t>Ce qu'elle fait</t>
        </is>
      </c>
      <c r="E33" s="532" t="n"/>
      <c r="F33" s="532" t="n"/>
      <c r="G33" s="532" t="n"/>
      <c r="H33" s="533" t="n"/>
    </row>
    <row r="34" ht="19" customHeight="1" s="134">
      <c r="A34" s="205" t="inlineStr">
        <is>
          <t>B9</t>
        </is>
      </c>
      <c r="B34" s="206" t="inlineStr">
        <is>
          <t>=B4*B5/(1-(1+B5)^-B6)</t>
        </is>
      </c>
      <c r="C34" s="533" t="n"/>
      <c r="D34" s="200" t="inlineStr">
        <is>
          <t>Annuité constante : capital × taux / (1 − (1 + taux)^−durée).</t>
        </is>
      </c>
      <c r="E34" s="532" t="n"/>
      <c r="F34" s="532" t="n"/>
      <c r="G34" s="532" t="n"/>
      <c r="H34" s="533" t="n"/>
    </row>
    <row r="35" ht="19" customHeight="1" s="134">
      <c r="A35" s="207" t="inlineStr">
        <is>
          <t>A12:A26</t>
        </is>
      </c>
      <c r="B35" s="208" t="inlineStr">
        <is>
          <t>=MOIS.DECALER(B7;12*n)</t>
        </is>
      </c>
      <c r="C35" s="533" t="n"/>
      <c r="D35" s="202" t="inlineStr">
        <is>
          <t>Dates d'échéance : la première date saisie, puis +12 mois à chaque ligne.</t>
        </is>
      </c>
      <c r="E35" s="532" t="n"/>
      <c r="F35" s="532" t="n"/>
      <c r="G35" s="532" t="n"/>
      <c r="H35" s="533" t="n"/>
    </row>
    <row r="36" ht="34" customHeight="1" s="134">
      <c r="A36" s="205" t="inlineStr">
        <is>
          <t>B12 · B13:B26</t>
        </is>
      </c>
      <c r="B36" s="206" t="inlineStr">
        <is>
          <t>=B4   puis   =F12</t>
        </is>
      </c>
      <c r="C36" s="533" t="n"/>
      <c r="D36" s="200" t="inlineStr">
        <is>
          <t>Capital restant dû en début de période : le montant emprunté, puis le capital de fin de la ligne précédente.</t>
        </is>
      </c>
      <c r="E36" s="532" t="n"/>
      <c r="F36" s="532" t="n"/>
      <c r="G36" s="532" t="n"/>
      <c r="H36" s="533" t="n"/>
    </row>
    <row r="37" ht="19" customHeight="1" s="134">
      <c r="A37" s="207" t="inlineStr">
        <is>
          <t>C12:C26</t>
        </is>
      </c>
      <c r="B37" s="208" t="inlineStr">
        <is>
          <t>=B12*$B$5</t>
        </is>
      </c>
      <c r="C37" s="533" t="n"/>
      <c r="D37" s="202" t="inlineStr">
        <is>
          <t>Intérêts : capital restant dû × taux.</t>
        </is>
      </c>
      <c r="E37" s="532" t="n"/>
      <c r="F37" s="532" t="n"/>
      <c r="G37" s="532" t="n"/>
      <c r="H37" s="533" t="n"/>
    </row>
    <row r="38" ht="19" customHeight="1" s="134">
      <c r="A38" s="205" t="inlineStr">
        <is>
          <t>D12:D26</t>
        </is>
      </c>
      <c r="B38" s="206" t="inlineStr">
        <is>
          <t>=E12-C12</t>
        </is>
      </c>
      <c r="C38" s="533" t="n"/>
      <c r="D38" s="200" t="inlineStr">
        <is>
          <t>Amortissement du capital : annuité moins intérêts.</t>
        </is>
      </c>
      <c r="E38" s="532" t="n"/>
      <c r="F38" s="532" t="n"/>
      <c r="G38" s="532" t="n"/>
      <c r="H38" s="533" t="n"/>
    </row>
    <row r="39" ht="19" customHeight="1" s="134">
      <c r="A39" s="207" t="inlineStr">
        <is>
          <t>E12:E26</t>
        </is>
      </c>
      <c r="B39" s="208" t="inlineStr">
        <is>
          <t>=$B$9</t>
        </is>
      </c>
      <c r="C39" s="533" t="n"/>
      <c r="D39" s="202" t="inlineStr">
        <is>
          <t>Annuité : identique à chaque échéance.</t>
        </is>
      </c>
      <c r="E39" s="532" t="n"/>
      <c r="F39" s="532" t="n"/>
      <c r="G39" s="532" t="n"/>
      <c r="H39" s="533" t="n"/>
    </row>
    <row r="40" ht="34" customHeight="1" s="134">
      <c r="A40" s="205" t="inlineStr">
        <is>
          <t>F12:F26</t>
        </is>
      </c>
      <c r="B40" s="206" t="inlineStr">
        <is>
          <t>=B12-D12</t>
        </is>
      </c>
      <c r="C40" s="533" t="n"/>
      <c r="D40" s="200" t="inlineStr">
        <is>
          <t>Capital restant dû en fin de période : début moins amortissement. Il atteint 0 à la dernière échéance.</t>
        </is>
      </c>
      <c r="E40" s="532" t="n"/>
      <c r="F40" s="532" t="n"/>
      <c r="G40" s="532" t="n"/>
      <c r="H40" s="533" t="n"/>
    </row>
    <row r="41" ht="19" customHeight="1" s="134">
      <c r="A41" s="207" t="inlineStr">
        <is>
          <t>C27 · D27 · E27</t>
        </is>
      </c>
      <c r="B41" s="208" t="inlineStr">
        <is>
          <t>=SOMME(C12:C26)</t>
        </is>
      </c>
      <c r="C41" s="533" t="n"/>
      <c r="D41" s="202" t="inlineStr">
        <is>
          <t>Totaux des intérêts, du capital remboursé et des annuités.</t>
        </is>
      </c>
      <c r="E41" s="532" t="n"/>
      <c r="F41" s="532" t="n"/>
      <c r="G41" s="532" t="n"/>
      <c r="H41" s="533" t="n"/>
    </row>
  </sheetData>
  <mergeCells count="20">
    <mergeCell ref="D35:H35"/>
    <mergeCell ref="D34:H34"/>
    <mergeCell ref="D40:H40"/>
    <mergeCell ref="D36:H36"/>
    <mergeCell ref="B39:C39"/>
    <mergeCell ref="D41:H41"/>
    <mergeCell ref="B38:C38"/>
    <mergeCell ref="B34:C34"/>
    <mergeCell ref="B37:C37"/>
    <mergeCell ref="D37:H37"/>
    <mergeCell ref="B40:C40"/>
    <mergeCell ref="A32:H32"/>
    <mergeCell ref="D39:H39"/>
    <mergeCell ref="B33:C33"/>
    <mergeCell ref="A31:H31"/>
    <mergeCell ref="D33:H33"/>
    <mergeCell ref="B36:C36"/>
    <mergeCell ref="D38:H38"/>
    <mergeCell ref="B41:C41"/>
    <mergeCell ref="B35:C35"/>
  </mergeCells>
  <pageMargins left="0.75" right="0.75" top="1" bottom="1" header="0.5" footer="0.5"/>
  <pageSetup orientation="landscape" fitToHeight="0" fitToWidth="1"/>
</worksheet>
</file>

<file path=xl/worksheets/sheet11.xml><?xml version="1.0" encoding="utf-8"?>
<worksheet xmlns="http://schemas.openxmlformats.org/spreadsheetml/2006/main">
  <sheetPr>
    <tabColor rgb="000ACFCF"/>
    <outlinePr summaryBelow="1" summaryRight="1"/>
    <pageSetUpPr fitToPage="1"/>
  </sheetPr>
  <dimension ref="A1:H41"/>
  <sheetViews>
    <sheetView topLeftCell="A12" workbookViewId="0">
      <selection activeCell="A1" sqref="A1"/>
    </sheetView>
  </sheetViews>
  <sheetFormatPr baseColWidth="10" defaultColWidth="8.7265625" defaultRowHeight="14.5"/>
  <cols>
    <col width="30" customWidth="1" style="134" min="1" max="1"/>
    <col width="26" customWidth="1" style="134" min="2" max="2"/>
    <col width="16" customWidth="1" style="134" min="3" max="3"/>
    <col width="24" customWidth="1" style="134" min="4" max="4"/>
    <col width="16" customWidth="1" style="134" min="5" max="5"/>
    <col width="26" customWidth="1" style="134" min="6" max="6"/>
    <col width="13" customWidth="1" style="134" min="7" max="7"/>
    <col width="13" customWidth="1" style="134" min="8" max="8"/>
  </cols>
  <sheetData>
    <row r="1" ht="18.5" customHeight="1" s="134">
      <c r="A1" s="77" t="inlineStr">
        <is>
          <t>Trame d'emprunt à amortissement constant</t>
        </is>
      </c>
    </row>
    <row r="2">
      <c r="A2" s="78" t="inlineStr">
        <is>
          <t>Complétez les cellules jaunes : le tableau se calcule automatiquement.</t>
        </is>
      </c>
    </row>
    <row r="4" ht="21" customHeight="1" s="134">
      <c r="A4" s="345" t="inlineStr">
        <is>
          <t>Montant emprunté</t>
        </is>
      </c>
      <c r="B4" s="385" t="n"/>
    </row>
    <row r="5" ht="21" customHeight="1" s="134">
      <c r="A5" s="347" t="inlineStr">
        <is>
          <t>Taux d'intérêt annuel</t>
        </is>
      </c>
      <c r="B5" s="386" t="n"/>
    </row>
    <row r="6" ht="21" customHeight="1" s="134">
      <c r="A6" s="347" t="inlineStr">
        <is>
          <t>Durée (années)</t>
        </is>
      </c>
      <c r="B6" s="382" t="n"/>
    </row>
    <row r="7" ht="21" customHeight="1" s="134">
      <c r="A7" s="350" t="inlineStr">
        <is>
          <t>Date de la première échéance</t>
        </is>
      </c>
      <c r="B7" s="388" t="n"/>
    </row>
    <row r="9" ht="21" customHeight="1" s="134">
      <c r="A9" s="389" t="inlineStr">
        <is>
          <t>Amortissement annuel du capital</t>
        </is>
      </c>
      <c r="B9" s="390">
        <f>IF(OR(B4="",B6=""),"",B4/B6)</f>
        <v/>
      </c>
    </row>
    <row r="11" ht="36" customHeight="1" s="134">
      <c r="A11" s="355" t="inlineStr">
        <is>
          <t>Échéance</t>
        </is>
      </c>
      <c r="B11" s="356" t="inlineStr">
        <is>
          <t>Capital restant dû en début de période</t>
        </is>
      </c>
      <c r="C11" s="356" t="inlineStr">
        <is>
          <t>Intérêts</t>
        </is>
      </c>
      <c r="D11" s="356" t="inlineStr">
        <is>
          <t>Amortissement du capital</t>
        </is>
      </c>
      <c r="E11" s="356" t="inlineStr">
        <is>
          <t>Annuité</t>
        </is>
      </c>
      <c r="F11" s="357" t="inlineStr">
        <is>
          <t>Capital restant dû en fin de période</t>
        </is>
      </c>
    </row>
    <row r="12" ht="21" customHeight="1" s="134">
      <c r="A12" s="391">
        <f>IF(OR(OR($B$4="",$B$5="",$B$6="",1&gt;$B$6),$B$7=""),"",EDATE($B$7,12*0))</f>
        <v/>
      </c>
      <c r="B12" s="359">
        <f>IF(OR($B$4="",$B$5="",$B$6="",1&gt;$B$6),"",$B$4)</f>
        <v/>
      </c>
      <c r="C12" s="359">
        <f>IF(OR($B$4="",$B$5="",$B$6="",1&gt;$B$6),"",B12*$B$5)</f>
        <v/>
      </c>
      <c r="D12" s="359">
        <f>IF(OR($B$4="",$B$5="",$B$6="",1&gt;$B$6),"",$B$9)</f>
        <v/>
      </c>
      <c r="E12" s="359">
        <f>IF(OR($B$4="",$B$5="",$B$6="",1&gt;$B$6),"",C12+D12)</f>
        <v/>
      </c>
      <c r="F12" s="361">
        <f>IF(OR($B$4="",$B$5="",$B$6="",1&gt;$B$6),"",B12-D12)</f>
        <v/>
      </c>
    </row>
    <row r="13" ht="21" customHeight="1" s="134">
      <c r="A13" s="392">
        <f>IF(OR(OR($B$4="",$B$5="",$B$6="",2&gt;$B$6),$B$7=""),"",EDATE($B$7,12*1))</f>
        <v/>
      </c>
      <c r="B13" s="363">
        <f>IF(OR($B$4="",$B$5="",$B$6="",2&gt;$B$6),"",F12)</f>
        <v/>
      </c>
      <c r="C13" s="363">
        <f>IF(OR($B$4="",$B$5="",$B$6="",2&gt;$B$6),"",B13*$B$5)</f>
        <v/>
      </c>
      <c r="D13" s="363">
        <f>IF(OR($B$4="",$B$5="",$B$6="",2&gt;$B$6),"",$B$9)</f>
        <v/>
      </c>
      <c r="E13" s="363">
        <f>IF(OR($B$4="",$B$5="",$B$6="",2&gt;$B$6),"",C13+D13)</f>
        <v/>
      </c>
      <c r="F13" s="365">
        <f>IF(OR($B$4="",$B$5="",$B$6="",2&gt;$B$6),"",B13-D13)</f>
        <v/>
      </c>
    </row>
    <row r="14" ht="21" customHeight="1" s="134">
      <c r="A14" s="391">
        <f>IF(OR(OR($B$4="",$B$5="",$B$6="",3&gt;$B$6),$B$7=""),"",EDATE($B$7,12*2))</f>
        <v/>
      </c>
      <c r="B14" s="359">
        <f>IF(OR($B$4="",$B$5="",$B$6="",3&gt;$B$6),"",F13)</f>
        <v/>
      </c>
      <c r="C14" s="359">
        <f>IF(OR($B$4="",$B$5="",$B$6="",3&gt;$B$6),"",B14*$B$5)</f>
        <v/>
      </c>
      <c r="D14" s="359">
        <f>IF(OR($B$4="",$B$5="",$B$6="",3&gt;$B$6),"",$B$9)</f>
        <v/>
      </c>
      <c r="E14" s="359">
        <f>IF(OR($B$4="",$B$5="",$B$6="",3&gt;$B$6),"",C14+D14)</f>
        <v/>
      </c>
      <c r="F14" s="361">
        <f>IF(OR($B$4="",$B$5="",$B$6="",3&gt;$B$6),"",B14-D14)</f>
        <v/>
      </c>
    </row>
    <row r="15" ht="21" customHeight="1" s="134">
      <c r="A15" s="392">
        <f>IF(OR(OR($B$4="",$B$5="",$B$6="",4&gt;$B$6),$B$7=""),"",EDATE($B$7,12*3))</f>
        <v/>
      </c>
      <c r="B15" s="363">
        <f>IF(OR($B$4="",$B$5="",$B$6="",4&gt;$B$6),"",F14)</f>
        <v/>
      </c>
      <c r="C15" s="363">
        <f>IF(OR($B$4="",$B$5="",$B$6="",4&gt;$B$6),"",B15*$B$5)</f>
        <v/>
      </c>
      <c r="D15" s="363">
        <f>IF(OR($B$4="",$B$5="",$B$6="",4&gt;$B$6),"",$B$9)</f>
        <v/>
      </c>
      <c r="E15" s="363">
        <f>IF(OR($B$4="",$B$5="",$B$6="",4&gt;$B$6),"",C15+D15)</f>
        <v/>
      </c>
      <c r="F15" s="365">
        <f>IF(OR($B$4="",$B$5="",$B$6="",4&gt;$B$6),"",B15-D15)</f>
        <v/>
      </c>
    </row>
    <row r="16" ht="21" customHeight="1" s="134">
      <c r="A16" s="391">
        <f>IF(OR(OR($B$4="",$B$5="",$B$6="",5&gt;$B$6),$B$7=""),"",EDATE($B$7,12*4))</f>
        <v/>
      </c>
      <c r="B16" s="359">
        <f>IF(OR($B$4="",$B$5="",$B$6="",5&gt;$B$6),"",F15)</f>
        <v/>
      </c>
      <c r="C16" s="359">
        <f>IF(OR($B$4="",$B$5="",$B$6="",5&gt;$B$6),"",B16*$B$5)</f>
        <v/>
      </c>
      <c r="D16" s="359">
        <f>IF(OR($B$4="",$B$5="",$B$6="",5&gt;$B$6),"",$B$9)</f>
        <v/>
      </c>
      <c r="E16" s="359">
        <f>IF(OR($B$4="",$B$5="",$B$6="",5&gt;$B$6),"",C16+D16)</f>
        <v/>
      </c>
      <c r="F16" s="361">
        <f>IF(OR($B$4="",$B$5="",$B$6="",5&gt;$B$6),"",B16-D16)</f>
        <v/>
      </c>
    </row>
    <row r="17" ht="21" customHeight="1" s="134">
      <c r="A17" s="392">
        <f>IF(OR(OR($B$4="",$B$5="",$B$6="",6&gt;$B$6),$B$7=""),"",EDATE($B$7,12*5))</f>
        <v/>
      </c>
      <c r="B17" s="363">
        <f>IF(OR($B$4="",$B$5="",$B$6="",6&gt;$B$6),"",F16)</f>
        <v/>
      </c>
      <c r="C17" s="363">
        <f>IF(OR($B$4="",$B$5="",$B$6="",6&gt;$B$6),"",B17*$B$5)</f>
        <v/>
      </c>
      <c r="D17" s="363">
        <f>IF(OR($B$4="",$B$5="",$B$6="",6&gt;$B$6),"",$B$9)</f>
        <v/>
      </c>
      <c r="E17" s="363">
        <f>IF(OR($B$4="",$B$5="",$B$6="",6&gt;$B$6),"",C17+D17)</f>
        <v/>
      </c>
      <c r="F17" s="365">
        <f>IF(OR($B$4="",$B$5="",$B$6="",6&gt;$B$6),"",B17-D17)</f>
        <v/>
      </c>
    </row>
    <row r="18" ht="21" customHeight="1" s="134">
      <c r="A18" s="391">
        <f>IF(OR(OR($B$4="",$B$5="",$B$6="",7&gt;$B$6),$B$7=""),"",EDATE($B$7,12*6))</f>
        <v/>
      </c>
      <c r="B18" s="359">
        <f>IF(OR($B$4="",$B$5="",$B$6="",7&gt;$B$6),"",F17)</f>
        <v/>
      </c>
      <c r="C18" s="359">
        <f>IF(OR($B$4="",$B$5="",$B$6="",7&gt;$B$6),"",B18*$B$5)</f>
        <v/>
      </c>
      <c r="D18" s="359">
        <f>IF(OR($B$4="",$B$5="",$B$6="",7&gt;$B$6),"",$B$9)</f>
        <v/>
      </c>
      <c r="E18" s="359">
        <f>IF(OR($B$4="",$B$5="",$B$6="",7&gt;$B$6),"",C18+D18)</f>
        <v/>
      </c>
      <c r="F18" s="361">
        <f>IF(OR($B$4="",$B$5="",$B$6="",7&gt;$B$6),"",B18-D18)</f>
        <v/>
      </c>
    </row>
    <row r="19" ht="21" customHeight="1" s="134">
      <c r="A19" s="392">
        <f>IF(OR(OR($B$4="",$B$5="",$B$6="",8&gt;$B$6),$B$7=""),"",EDATE($B$7,12*7))</f>
        <v/>
      </c>
      <c r="B19" s="363">
        <f>IF(OR($B$4="",$B$5="",$B$6="",8&gt;$B$6),"",F18)</f>
        <v/>
      </c>
      <c r="C19" s="363">
        <f>IF(OR($B$4="",$B$5="",$B$6="",8&gt;$B$6),"",B19*$B$5)</f>
        <v/>
      </c>
      <c r="D19" s="363">
        <f>IF(OR($B$4="",$B$5="",$B$6="",8&gt;$B$6),"",$B$9)</f>
        <v/>
      </c>
      <c r="E19" s="363">
        <f>IF(OR($B$4="",$B$5="",$B$6="",8&gt;$B$6),"",C19+D19)</f>
        <v/>
      </c>
      <c r="F19" s="365">
        <f>IF(OR($B$4="",$B$5="",$B$6="",8&gt;$B$6),"",B19-D19)</f>
        <v/>
      </c>
    </row>
    <row r="20" ht="21" customHeight="1" s="134">
      <c r="A20" s="391">
        <f>IF(OR(OR($B$4="",$B$5="",$B$6="",9&gt;$B$6),$B$7=""),"",EDATE($B$7,12*8))</f>
        <v/>
      </c>
      <c r="B20" s="359">
        <f>IF(OR($B$4="",$B$5="",$B$6="",9&gt;$B$6),"",F19)</f>
        <v/>
      </c>
      <c r="C20" s="359">
        <f>IF(OR($B$4="",$B$5="",$B$6="",9&gt;$B$6),"",B20*$B$5)</f>
        <v/>
      </c>
      <c r="D20" s="359">
        <f>IF(OR($B$4="",$B$5="",$B$6="",9&gt;$B$6),"",$B$9)</f>
        <v/>
      </c>
      <c r="E20" s="359">
        <f>IF(OR($B$4="",$B$5="",$B$6="",9&gt;$B$6),"",C20+D20)</f>
        <v/>
      </c>
      <c r="F20" s="361">
        <f>IF(OR($B$4="",$B$5="",$B$6="",9&gt;$B$6),"",B20-D20)</f>
        <v/>
      </c>
    </row>
    <row r="21" ht="21" customHeight="1" s="134">
      <c r="A21" s="392">
        <f>IF(OR(OR($B$4="",$B$5="",$B$6="",10&gt;$B$6),$B$7=""),"",EDATE($B$7,12*9))</f>
        <v/>
      </c>
      <c r="B21" s="363">
        <f>IF(OR($B$4="",$B$5="",$B$6="",10&gt;$B$6),"",F20)</f>
        <v/>
      </c>
      <c r="C21" s="363">
        <f>IF(OR($B$4="",$B$5="",$B$6="",10&gt;$B$6),"",B21*$B$5)</f>
        <v/>
      </c>
      <c r="D21" s="363">
        <f>IF(OR($B$4="",$B$5="",$B$6="",10&gt;$B$6),"",$B$9)</f>
        <v/>
      </c>
      <c r="E21" s="363">
        <f>IF(OR($B$4="",$B$5="",$B$6="",10&gt;$B$6),"",C21+D21)</f>
        <v/>
      </c>
      <c r="F21" s="365">
        <f>IF(OR($B$4="",$B$5="",$B$6="",10&gt;$B$6),"",B21-D21)</f>
        <v/>
      </c>
    </row>
    <row r="22" ht="21" customHeight="1" s="134">
      <c r="A22" s="391">
        <f>IF(OR(OR($B$4="",$B$5="",$B$6="",11&gt;$B$6),$B$7=""),"",EDATE($B$7,12*10))</f>
        <v/>
      </c>
      <c r="B22" s="359">
        <f>IF(OR($B$4="",$B$5="",$B$6="",11&gt;$B$6),"",F21)</f>
        <v/>
      </c>
      <c r="C22" s="359">
        <f>IF(OR($B$4="",$B$5="",$B$6="",11&gt;$B$6),"",B22*$B$5)</f>
        <v/>
      </c>
      <c r="D22" s="359">
        <f>IF(OR($B$4="",$B$5="",$B$6="",11&gt;$B$6),"",$B$9)</f>
        <v/>
      </c>
      <c r="E22" s="359">
        <f>IF(OR($B$4="",$B$5="",$B$6="",11&gt;$B$6),"",C22+D22)</f>
        <v/>
      </c>
      <c r="F22" s="361">
        <f>IF(OR($B$4="",$B$5="",$B$6="",11&gt;$B$6),"",B22-D22)</f>
        <v/>
      </c>
    </row>
    <row r="23" ht="21" customHeight="1" s="134">
      <c r="A23" s="392">
        <f>IF(OR(OR($B$4="",$B$5="",$B$6="",12&gt;$B$6),$B$7=""),"",EDATE($B$7,12*11))</f>
        <v/>
      </c>
      <c r="B23" s="363">
        <f>IF(OR($B$4="",$B$5="",$B$6="",12&gt;$B$6),"",F22)</f>
        <v/>
      </c>
      <c r="C23" s="363">
        <f>IF(OR($B$4="",$B$5="",$B$6="",12&gt;$B$6),"",B23*$B$5)</f>
        <v/>
      </c>
      <c r="D23" s="363">
        <f>IF(OR($B$4="",$B$5="",$B$6="",12&gt;$B$6),"",$B$9)</f>
        <v/>
      </c>
      <c r="E23" s="363">
        <f>IF(OR($B$4="",$B$5="",$B$6="",12&gt;$B$6),"",C23+D23)</f>
        <v/>
      </c>
      <c r="F23" s="365">
        <f>IF(OR($B$4="",$B$5="",$B$6="",12&gt;$B$6),"",B23-D23)</f>
        <v/>
      </c>
    </row>
    <row r="24" ht="21" customHeight="1" s="134">
      <c r="A24" s="391">
        <f>IF(OR(OR($B$4="",$B$5="",$B$6="",13&gt;$B$6),$B$7=""),"",EDATE($B$7,12*12))</f>
        <v/>
      </c>
      <c r="B24" s="359">
        <f>IF(OR($B$4="",$B$5="",$B$6="",13&gt;$B$6),"",F23)</f>
        <v/>
      </c>
      <c r="C24" s="359">
        <f>IF(OR($B$4="",$B$5="",$B$6="",13&gt;$B$6),"",B24*$B$5)</f>
        <v/>
      </c>
      <c r="D24" s="359">
        <f>IF(OR($B$4="",$B$5="",$B$6="",13&gt;$B$6),"",$B$9)</f>
        <v/>
      </c>
      <c r="E24" s="359">
        <f>IF(OR($B$4="",$B$5="",$B$6="",13&gt;$B$6),"",C24+D24)</f>
        <v/>
      </c>
      <c r="F24" s="361">
        <f>IF(OR($B$4="",$B$5="",$B$6="",13&gt;$B$6),"",B24-D24)</f>
        <v/>
      </c>
    </row>
    <row r="25" ht="21" customHeight="1" s="134">
      <c r="A25" s="392">
        <f>IF(OR(OR($B$4="",$B$5="",$B$6="",14&gt;$B$6),$B$7=""),"",EDATE($B$7,12*13))</f>
        <v/>
      </c>
      <c r="B25" s="363">
        <f>IF(OR($B$4="",$B$5="",$B$6="",14&gt;$B$6),"",F24)</f>
        <v/>
      </c>
      <c r="C25" s="363">
        <f>IF(OR($B$4="",$B$5="",$B$6="",14&gt;$B$6),"",B25*$B$5)</f>
        <v/>
      </c>
      <c r="D25" s="363">
        <f>IF(OR($B$4="",$B$5="",$B$6="",14&gt;$B$6),"",$B$9)</f>
        <v/>
      </c>
      <c r="E25" s="363">
        <f>IF(OR($B$4="",$B$5="",$B$6="",14&gt;$B$6),"",C25+D25)</f>
        <v/>
      </c>
      <c r="F25" s="365">
        <f>IF(OR($B$4="",$B$5="",$B$6="",14&gt;$B$6),"",B25-D25)</f>
        <v/>
      </c>
    </row>
    <row r="26" ht="21" customHeight="1" s="134">
      <c r="A26" s="391">
        <f>IF(OR(OR($B$4="",$B$5="",$B$6="",15&gt;$B$6),$B$7=""),"",EDATE($B$7,12*14))</f>
        <v/>
      </c>
      <c r="B26" s="359">
        <f>IF(OR($B$4="",$B$5="",$B$6="",15&gt;$B$6),"",F25)</f>
        <v/>
      </c>
      <c r="C26" s="359">
        <f>IF(OR($B$4="",$B$5="",$B$6="",15&gt;$B$6),"",B26*$B$5)</f>
        <v/>
      </c>
      <c r="D26" s="359">
        <f>IF(OR($B$4="",$B$5="",$B$6="",15&gt;$B$6),"",$B$9)</f>
        <v/>
      </c>
      <c r="E26" s="359">
        <f>IF(OR($B$4="",$B$5="",$B$6="",15&gt;$B$6),"",C26+D26)</f>
        <v/>
      </c>
      <c r="F26" s="361">
        <f>IF(OR($B$4="",$B$5="",$B$6="",15&gt;$B$6),"",B26-D26)</f>
        <v/>
      </c>
    </row>
    <row r="27" ht="21" customHeight="1" s="134">
      <c r="A27" s="393" t="inlineStr">
        <is>
          <t>TOTAL</t>
        </is>
      </c>
      <c r="B27" s="394" t="n"/>
      <c r="C27" s="395">
        <f>SUM(C12:C26)</f>
        <v/>
      </c>
      <c r="D27" s="395">
        <f>SUM(D12:D26)</f>
        <v/>
      </c>
      <c r="E27" s="395">
        <f>SUM(E12:E26)</f>
        <v/>
      </c>
      <c r="F27" s="396" t="n"/>
    </row>
    <row r="29">
      <c r="A29" s="78" t="inlineStr">
        <is>
          <t>Amortissement du capital identique chaque année ; annuité = amortissement + intérêts (intérêts décroissants).</t>
        </is>
      </c>
    </row>
    <row r="31" ht="22" customHeight="1" s="134">
      <c r="A31" s="203" t="inlineStr">
        <is>
          <t>Comment ça marche : les formules, cellule par cellule</t>
        </is>
      </c>
      <c r="B31" s="532" t="n"/>
      <c r="C31" s="532" t="n"/>
      <c r="D31" s="532" t="n"/>
      <c r="E31" s="532" t="n"/>
      <c r="F31" s="532" t="n"/>
      <c r="G31" s="532" t="n"/>
      <c r="H31" s="533" t="n"/>
    </row>
    <row r="32" ht="33" customHeight="1" s="134">
      <c r="A32" s="309" t="inlineStr">
        <is>
          <t>Cellules jaunes : montant, taux, durée et date de la première échéance à saisir. Le tableau compte au maximum 15 échéances ; les lignes au-delà de la durée restent vides.</t>
        </is>
      </c>
      <c r="B32" s="532" t="n"/>
      <c r="C32" s="532" t="n"/>
      <c r="D32" s="532" t="n"/>
      <c r="E32" s="532" t="n"/>
      <c r="F32" s="532" t="n"/>
      <c r="G32" s="532" t="n"/>
      <c r="H32" s="533" t="n"/>
    </row>
    <row r="33">
      <c r="A33" s="204" t="inlineStr">
        <is>
          <t>Cellule(s)</t>
        </is>
      </c>
      <c r="B33" s="204" t="inlineStr">
        <is>
          <t>Formule (Excel en français)</t>
        </is>
      </c>
      <c r="C33" s="533" t="n"/>
      <c r="D33" s="204" t="inlineStr">
        <is>
          <t>Ce qu'elle fait</t>
        </is>
      </c>
      <c r="E33" s="532" t="n"/>
      <c r="F33" s="532" t="n"/>
      <c r="G33" s="532" t="n"/>
      <c r="H33" s="533" t="n"/>
    </row>
    <row r="34" ht="19" customHeight="1" s="134">
      <c r="A34" s="205" t="inlineStr">
        <is>
          <t>B9</t>
        </is>
      </c>
      <c r="B34" s="206" t="inlineStr">
        <is>
          <t>=B4/B6</t>
        </is>
      </c>
      <c r="C34" s="533" t="n"/>
      <c r="D34" s="200" t="inlineStr">
        <is>
          <t>Amortissement annuel du capital : montant emprunté / durée.</t>
        </is>
      </c>
      <c r="E34" s="532" t="n"/>
      <c r="F34" s="532" t="n"/>
      <c r="G34" s="532" t="n"/>
      <c r="H34" s="533" t="n"/>
    </row>
    <row r="35" ht="19" customHeight="1" s="134">
      <c r="A35" s="207" t="inlineStr">
        <is>
          <t>A12:A26</t>
        </is>
      </c>
      <c r="B35" s="208" t="inlineStr">
        <is>
          <t>=MOIS.DECALER(B7;12*n)</t>
        </is>
      </c>
      <c r="C35" s="533" t="n"/>
      <c r="D35" s="202" t="inlineStr">
        <is>
          <t>Dates d'échéance : première date saisie, puis +12 mois à chaque ligne.</t>
        </is>
      </c>
      <c r="E35" s="532" t="n"/>
      <c r="F35" s="532" t="n"/>
      <c r="G35" s="532" t="n"/>
      <c r="H35" s="533" t="n"/>
    </row>
    <row r="36" ht="19" customHeight="1" s="134">
      <c r="A36" s="205" t="inlineStr">
        <is>
          <t>B12 · B13:B26</t>
        </is>
      </c>
      <c r="B36" s="206" t="inlineStr">
        <is>
          <t>=B4   puis   =F12</t>
        </is>
      </c>
      <c r="C36" s="533" t="n"/>
      <c r="D36" s="200" t="inlineStr">
        <is>
          <t>Capital restant dû en début de période.</t>
        </is>
      </c>
      <c r="E36" s="532" t="n"/>
      <c r="F36" s="532" t="n"/>
      <c r="G36" s="532" t="n"/>
      <c r="H36" s="533" t="n"/>
    </row>
    <row r="37" ht="19" customHeight="1" s="134">
      <c r="A37" s="207" t="inlineStr">
        <is>
          <t>C12:C26</t>
        </is>
      </c>
      <c r="B37" s="208" t="inlineStr">
        <is>
          <t>=B12*$B$5</t>
        </is>
      </c>
      <c r="C37" s="533" t="n"/>
      <c r="D37" s="202" t="inlineStr">
        <is>
          <t>Intérêts : capital restant dû × taux (ils diminuent chaque année).</t>
        </is>
      </c>
      <c r="E37" s="532" t="n"/>
      <c r="F37" s="532" t="n"/>
      <c r="G37" s="532" t="n"/>
      <c r="H37" s="533" t="n"/>
    </row>
    <row r="38" ht="19" customHeight="1" s="134">
      <c r="A38" s="205" t="inlineStr">
        <is>
          <t>D12:D26</t>
        </is>
      </c>
      <c r="B38" s="206" t="inlineStr">
        <is>
          <t>=$B$9</t>
        </is>
      </c>
      <c r="C38" s="533" t="n"/>
      <c r="D38" s="200" t="inlineStr">
        <is>
          <t>Amortissement du capital : identique à chaque échéance.</t>
        </is>
      </c>
      <c r="E38" s="532" t="n"/>
      <c r="F38" s="532" t="n"/>
      <c r="G38" s="532" t="n"/>
      <c r="H38" s="533" t="n"/>
    </row>
    <row r="39" ht="19" customHeight="1" s="134">
      <c r="A39" s="207" t="inlineStr">
        <is>
          <t>E12:E26</t>
        </is>
      </c>
      <c r="B39" s="208" t="inlineStr">
        <is>
          <t>=C12+D12</t>
        </is>
      </c>
      <c r="C39" s="533" t="n"/>
      <c r="D39" s="202" t="inlineStr">
        <is>
          <t>Annuité : intérêts + amortissement (elle diminue chaque année).</t>
        </is>
      </c>
      <c r="E39" s="532" t="n"/>
      <c r="F39" s="532" t="n"/>
      <c r="G39" s="532" t="n"/>
      <c r="H39" s="533" t="n"/>
    </row>
    <row r="40" ht="19" customHeight="1" s="134">
      <c r="A40" s="205" t="inlineStr">
        <is>
          <t>F12:F26</t>
        </is>
      </c>
      <c r="B40" s="206" t="inlineStr">
        <is>
          <t>=B12-D12</t>
        </is>
      </c>
      <c r="C40" s="533" t="n"/>
      <c r="D40" s="200" t="inlineStr">
        <is>
          <t>Capital restant dû en fin de période.</t>
        </is>
      </c>
      <c r="E40" s="532" t="n"/>
      <c r="F40" s="532" t="n"/>
      <c r="G40" s="532" t="n"/>
      <c r="H40" s="533" t="n"/>
    </row>
    <row r="41" ht="19" customHeight="1" s="134">
      <c r="A41" s="207" t="inlineStr">
        <is>
          <t>C27 · D27 · E27</t>
        </is>
      </c>
      <c r="B41" s="208" t="inlineStr">
        <is>
          <t>=SOMME(C12:C26)</t>
        </is>
      </c>
      <c r="C41" s="533" t="n"/>
      <c r="D41" s="202" t="inlineStr">
        <is>
          <t>Totaux des intérêts, du capital remboursé et des annuités.</t>
        </is>
      </c>
      <c r="E41" s="532" t="n"/>
      <c r="F41" s="532" t="n"/>
      <c r="G41" s="532" t="n"/>
      <c r="H41" s="533" t="n"/>
    </row>
  </sheetData>
  <mergeCells count="20">
    <mergeCell ref="D35:H35"/>
    <mergeCell ref="D34:H34"/>
    <mergeCell ref="D40:H40"/>
    <mergeCell ref="D36:H36"/>
    <mergeCell ref="B39:C39"/>
    <mergeCell ref="D41:H41"/>
    <mergeCell ref="B38:C38"/>
    <mergeCell ref="B34:C34"/>
    <mergeCell ref="B37:C37"/>
    <mergeCell ref="D37:H37"/>
    <mergeCell ref="B40:C40"/>
    <mergeCell ref="A32:H32"/>
    <mergeCell ref="D39:H39"/>
    <mergeCell ref="B33:C33"/>
    <mergeCell ref="A31:H31"/>
    <mergeCell ref="D33:H33"/>
    <mergeCell ref="B36:C36"/>
    <mergeCell ref="D38:H38"/>
    <mergeCell ref="B41:C41"/>
    <mergeCell ref="B35:C35"/>
  </mergeCells>
  <pageMargins left="0.75" right="0.75" top="1" bottom="1" header="0.5" footer="0.5"/>
  <pageSetup orientation="landscape" fitToHeight="0" fitToWidth="1"/>
</worksheet>
</file>

<file path=xl/worksheets/sheet12.xml><?xml version="1.0" encoding="utf-8"?>
<worksheet xmlns="http://schemas.openxmlformats.org/spreadsheetml/2006/main">
  <sheetPr>
    <tabColor rgb="000ACFCF"/>
    <outlinePr summaryBelow="1" summaryRight="1"/>
    <pageSetUpPr fitToPage="1"/>
  </sheetPr>
  <dimension ref="A1:H41"/>
  <sheetViews>
    <sheetView tabSelected="1" workbookViewId="0">
      <selection activeCell="A1" sqref="A1"/>
    </sheetView>
  </sheetViews>
  <sheetFormatPr baseColWidth="10" defaultColWidth="8.7265625" defaultRowHeight="14.5"/>
  <cols>
    <col width="30" customWidth="1" style="134" min="1" max="1"/>
    <col width="26" customWidth="1" style="134" min="2" max="2"/>
    <col width="16" customWidth="1" style="134" min="3" max="3"/>
    <col width="24" customWidth="1" style="134" min="4" max="4"/>
    <col width="16" customWidth="1" style="134" min="5" max="5"/>
    <col width="26" customWidth="1" style="134" min="6" max="6"/>
    <col width="13" customWidth="1" style="134" min="7" max="7"/>
    <col width="13" customWidth="1" style="134" min="8" max="8"/>
  </cols>
  <sheetData>
    <row r="1" ht="18.5" customHeight="1" s="134">
      <c r="A1" s="77" t="inlineStr">
        <is>
          <t>Trame d'emprunt in fine</t>
        </is>
      </c>
    </row>
    <row r="2">
      <c r="A2" s="78" t="inlineStr">
        <is>
          <t>Complétez les cellules jaunes : le tableau se calcule automatiquement.</t>
        </is>
      </c>
    </row>
    <row r="4" ht="21" customHeight="1" s="134">
      <c r="A4" s="345" t="inlineStr">
        <is>
          <t>Montant emprunté</t>
        </is>
      </c>
      <c r="B4" s="385" t="n"/>
    </row>
    <row r="5" ht="21" customHeight="1" s="134">
      <c r="A5" s="347" t="inlineStr">
        <is>
          <t>Taux d'intérêt annuel</t>
        </is>
      </c>
      <c r="B5" s="386" t="n"/>
    </row>
    <row r="6" ht="21" customHeight="1" s="134">
      <c r="A6" s="347" t="inlineStr">
        <is>
          <t>Durée (années)</t>
        </is>
      </c>
      <c r="B6" s="382" t="n"/>
    </row>
    <row r="7" ht="21" customHeight="1" s="134">
      <c r="A7" s="350" t="inlineStr">
        <is>
          <t>Date de la première échéance</t>
        </is>
      </c>
      <c r="B7" s="388" t="n"/>
    </row>
    <row r="9" ht="21" customHeight="1" s="134">
      <c r="A9" s="389" t="inlineStr">
        <is>
          <t>Capital remboursé à l'échéance finale</t>
        </is>
      </c>
      <c r="B9" s="390">
        <f>IF(B4="","",B4)</f>
        <v/>
      </c>
    </row>
    <row r="11" ht="36" customHeight="1" s="134">
      <c r="A11" s="355" t="inlineStr">
        <is>
          <t>Échéance</t>
        </is>
      </c>
      <c r="B11" s="356" t="inlineStr">
        <is>
          <t>Capital restant dû en début de période</t>
        </is>
      </c>
      <c r="C11" s="356" t="inlineStr">
        <is>
          <t>Intérêts</t>
        </is>
      </c>
      <c r="D11" s="356" t="inlineStr">
        <is>
          <t>Amortissement du capital</t>
        </is>
      </c>
      <c r="E11" s="356" t="inlineStr">
        <is>
          <t>Annuité</t>
        </is>
      </c>
      <c r="F11" s="357" t="inlineStr">
        <is>
          <t>Capital restant dû en fin de période</t>
        </is>
      </c>
    </row>
    <row r="12" ht="21" customHeight="1" s="134">
      <c r="A12" s="391">
        <f>IF(OR(OR($B$4="",$B$5="",$B$6="",1&gt;$B$6),$B$7=""),"",EDATE($B$7,12*0))</f>
        <v/>
      </c>
      <c r="B12" s="359">
        <f>IF(OR($B$4="",$B$5="",$B$6="",1&gt;$B$6),"",$B$4)</f>
        <v/>
      </c>
      <c r="C12" s="359">
        <f>IF(OR($B$4="",$B$5="",$B$6="",1&gt;$B$6),"",B12*$B$5)</f>
        <v/>
      </c>
      <c r="D12" s="359">
        <f>IF(OR($B$4="",$B$5="",$B$6="",1&gt;$B$6),"",IF(1=$B$6,B12,0))</f>
        <v/>
      </c>
      <c r="E12" s="359">
        <f>IF(OR($B$4="",$B$5="",$B$6="",1&gt;$B$6),"",C12+D12)</f>
        <v/>
      </c>
      <c r="F12" s="361">
        <f>IF(OR($B$4="",$B$5="",$B$6="",1&gt;$B$6),"",B12-D12)</f>
        <v/>
      </c>
    </row>
    <row r="13" ht="21" customHeight="1" s="134">
      <c r="A13" s="392">
        <f>IF(OR(OR($B$4="",$B$5="",$B$6="",2&gt;$B$6),$B$7=""),"",EDATE($B$7,12*1))</f>
        <v/>
      </c>
      <c r="B13" s="363">
        <f>IF(OR($B$4="",$B$5="",$B$6="",2&gt;$B$6),"",F12)</f>
        <v/>
      </c>
      <c r="C13" s="363">
        <f>IF(OR($B$4="",$B$5="",$B$6="",2&gt;$B$6),"",B13*$B$5)</f>
        <v/>
      </c>
      <c r="D13" s="363">
        <f>IF(OR($B$4="",$B$5="",$B$6="",2&gt;$B$6),"",IF(2=$B$6,B13,0))</f>
        <v/>
      </c>
      <c r="E13" s="363">
        <f>IF(OR($B$4="",$B$5="",$B$6="",2&gt;$B$6),"",C13+D13)</f>
        <v/>
      </c>
      <c r="F13" s="365">
        <f>IF(OR($B$4="",$B$5="",$B$6="",2&gt;$B$6),"",B13-D13)</f>
        <v/>
      </c>
    </row>
    <row r="14" ht="21" customHeight="1" s="134">
      <c r="A14" s="391">
        <f>IF(OR(OR($B$4="",$B$5="",$B$6="",3&gt;$B$6),$B$7=""),"",EDATE($B$7,12*2))</f>
        <v/>
      </c>
      <c r="B14" s="359">
        <f>IF(OR($B$4="",$B$5="",$B$6="",3&gt;$B$6),"",F13)</f>
        <v/>
      </c>
      <c r="C14" s="359">
        <f>IF(OR($B$4="",$B$5="",$B$6="",3&gt;$B$6),"",B14*$B$5)</f>
        <v/>
      </c>
      <c r="D14" s="359">
        <f>IF(OR($B$4="",$B$5="",$B$6="",3&gt;$B$6),"",IF(3=$B$6,B14,0))</f>
        <v/>
      </c>
      <c r="E14" s="359">
        <f>IF(OR($B$4="",$B$5="",$B$6="",3&gt;$B$6),"",C14+D14)</f>
        <v/>
      </c>
      <c r="F14" s="361">
        <f>IF(OR($B$4="",$B$5="",$B$6="",3&gt;$B$6),"",B14-D14)</f>
        <v/>
      </c>
    </row>
    <row r="15" ht="21" customHeight="1" s="134">
      <c r="A15" s="392">
        <f>IF(OR(OR($B$4="",$B$5="",$B$6="",4&gt;$B$6),$B$7=""),"",EDATE($B$7,12*3))</f>
        <v/>
      </c>
      <c r="B15" s="363">
        <f>IF(OR($B$4="",$B$5="",$B$6="",4&gt;$B$6),"",F14)</f>
        <v/>
      </c>
      <c r="C15" s="363">
        <f>IF(OR($B$4="",$B$5="",$B$6="",4&gt;$B$6),"",B15*$B$5)</f>
        <v/>
      </c>
      <c r="D15" s="363">
        <f>IF(OR($B$4="",$B$5="",$B$6="",4&gt;$B$6),"",IF(4=$B$6,B15,0))</f>
        <v/>
      </c>
      <c r="E15" s="363">
        <f>IF(OR($B$4="",$B$5="",$B$6="",4&gt;$B$6),"",C15+D15)</f>
        <v/>
      </c>
      <c r="F15" s="365">
        <f>IF(OR($B$4="",$B$5="",$B$6="",4&gt;$B$6),"",B15-D15)</f>
        <v/>
      </c>
    </row>
    <row r="16" ht="21" customHeight="1" s="134">
      <c r="A16" s="391">
        <f>IF(OR(OR($B$4="",$B$5="",$B$6="",5&gt;$B$6),$B$7=""),"",EDATE($B$7,12*4))</f>
        <v/>
      </c>
      <c r="B16" s="359">
        <f>IF(OR($B$4="",$B$5="",$B$6="",5&gt;$B$6),"",F15)</f>
        <v/>
      </c>
      <c r="C16" s="359">
        <f>IF(OR($B$4="",$B$5="",$B$6="",5&gt;$B$6),"",B16*$B$5)</f>
        <v/>
      </c>
      <c r="D16" s="359">
        <f>IF(OR($B$4="",$B$5="",$B$6="",5&gt;$B$6),"",IF(5=$B$6,B16,0))</f>
        <v/>
      </c>
      <c r="E16" s="359">
        <f>IF(OR($B$4="",$B$5="",$B$6="",5&gt;$B$6),"",C16+D16)</f>
        <v/>
      </c>
      <c r="F16" s="361">
        <f>IF(OR($B$4="",$B$5="",$B$6="",5&gt;$B$6),"",B16-D16)</f>
        <v/>
      </c>
    </row>
    <row r="17" ht="21" customHeight="1" s="134">
      <c r="A17" s="392">
        <f>IF(OR(OR($B$4="",$B$5="",$B$6="",6&gt;$B$6),$B$7=""),"",EDATE($B$7,12*5))</f>
        <v/>
      </c>
      <c r="B17" s="363">
        <f>IF(OR($B$4="",$B$5="",$B$6="",6&gt;$B$6),"",F16)</f>
        <v/>
      </c>
      <c r="C17" s="363">
        <f>IF(OR($B$4="",$B$5="",$B$6="",6&gt;$B$6),"",B17*$B$5)</f>
        <v/>
      </c>
      <c r="D17" s="363">
        <f>IF(OR($B$4="",$B$5="",$B$6="",6&gt;$B$6),"",IF(6=$B$6,B17,0))</f>
        <v/>
      </c>
      <c r="E17" s="363">
        <f>IF(OR($B$4="",$B$5="",$B$6="",6&gt;$B$6),"",C17+D17)</f>
        <v/>
      </c>
      <c r="F17" s="365">
        <f>IF(OR($B$4="",$B$5="",$B$6="",6&gt;$B$6),"",B17-D17)</f>
        <v/>
      </c>
    </row>
    <row r="18" ht="21" customHeight="1" s="134">
      <c r="A18" s="391">
        <f>IF(OR(OR($B$4="",$B$5="",$B$6="",7&gt;$B$6),$B$7=""),"",EDATE($B$7,12*6))</f>
        <v/>
      </c>
      <c r="B18" s="359">
        <f>IF(OR($B$4="",$B$5="",$B$6="",7&gt;$B$6),"",F17)</f>
        <v/>
      </c>
      <c r="C18" s="359">
        <f>IF(OR($B$4="",$B$5="",$B$6="",7&gt;$B$6),"",B18*$B$5)</f>
        <v/>
      </c>
      <c r="D18" s="359">
        <f>IF(OR($B$4="",$B$5="",$B$6="",7&gt;$B$6),"",IF(7=$B$6,B18,0))</f>
        <v/>
      </c>
      <c r="E18" s="359">
        <f>IF(OR($B$4="",$B$5="",$B$6="",7&gt;$B$6),"",C18+D18)</f>
        <v/>
      </c>
      <c r="F18" s="361">
        <f>IF(OR($B$4="",$B$5="",$B$6="",7&gt;$B$6),"",B18-D18)</f>
        <v/>
      </c>
    </row>
    <row r="19" ht="21" customHeight="1" s="134">
      <c r="A19" s="392">
        <f>IF(OR(OR($B$4="",$B$5="",$B$6="",8&gt;$B$6),$B$7=""),"",EDATE($B$7,12*7))</f>
        <v/>
      </c>
      <c r="B19" s="363">
        <f>IF(OR($B$4="",$B$5="",$B$6="",8&gt;$B$6),"",F18)</f>
        <v/>
      </c>
      <c r="C19" s="363">
        <f>IF(OR($B$4="",$B$5="",$B$6="",8&gt;$B$6),"",B19*$B$5)</f>
        <v/>
      </c>
      <c r="D19" s="363">
        <f>IF(OR($B$4="",$B$5="",$B$6="",8&gt;$B$6),"",IF(8=$B$6,B19,0))</f>
        <v/>
      </c>
      <c r="E19" s="363">
        <f>IF(OR($B$4="",$B$5="",$B$6="",8&gt;$B$6),"",C19+D19)</f>
        <v/>
      </c>
      <c r="F19" s="365">
        <f>IF(OR($B$4="",$B$5="",$B$6="",8&gt;$B$6),"",B19-D19)</f>
        <v/>
      </c>
    </row>
    <row r="20" ht="21" customHeight="1" s="134">
      <c r="A20" s="391">
        <f>IF(OR(OR($B$4="",$B$5="",$B$6="",9&gt;$B$6),$B$7=""),"",EDATE($B$7,12*8))</f>
        <v/>
      </c>
      <c r="B20" s="359">
        <f>IF(OR($B$4="",$B$5="",$B$6="",9&gt;$B$6),"",F19)</f>
        <v/>
      </c>
      <c r="C20" s="359">
        <f>IF(OR($B$4="",$B$5="",$B$6="",9&gt;$B$6),"",B20*$B$5)</f>
        <v/>
      </c>
      <c r="D20" s="359">
        <f>IF(OR($B$4="",$B$5="",$B$6="",9&gt;$B$6),"",IF(9=$B$6,B20,0))</f>
        <v/>
      </c>
      <c r="E20" s="359">
        <f>IF(OR($B$4="",$B$5="",$B$6="",9&gt;$B$6),"",C20+D20)</f>
        <v/>
      </c>
      <c r="F20" s="361">
        <f>IF(OR($B$4="",$B$5="",$B$6="",9&gt;$B$6),"",B20-D20)</f>
        <v/>
      </c>
    </row>
    <row r="21" ht="21" customHeight="1" s="134">
      <c r="A21" s="392">
        <f>IF(OR(OR($B$4="",$B$5="",$B$6="",10&gt;$B$6),$B$7=""),"",EDATE($B$7,12*9))</f>
        <v/>
      </c>
      <c r="B21" s="363">
        <f>IF(OR($B$4="",$B$5="",$B$6="",10&gt;$B$6),"",F20)</f>
        <v/>
      </c>
      <c r="C21" s="363">
        <f>IF(OR($B$4="",$B$5="",$B$6="",10&gt;$B$6),"",B21*$B$5)</f>
        <v/>
      </c>
      <c r="D21" s="363">
        <f>IF(OR($B$4="",$B$5="",$B$6="",10&gt;$B$6),"",IF(10=$B$6,B21,0))</f>
        <v/>
      </c>
      <c r="E21" s="363">
        <f>IF(OR($B$4="",$B$5="",$B$6="",10&gt;$B$6),"",C21+D21)</f>
        <v/>
      </c>
      <c r="F21" s="365">
        <f>IF(OR($B$4="",$B$5="",$B$6="",10&gt;$B$6),"",B21-D21)</f>
        <v/>
      </c>
    </row>
    <row r="22" ht="21" customHeight="1" s="134">
      <c r="A22" s="391">
        <f>IF(OR(OR($B$4="",$B$5="",$B$6="",11&gt;$B$6),$B$7=""),"",EDATE($B$7,12*10))</f>
        <v/>
      </c>
      <c r="B22" s="359">
        <f>IF(OR($B$4="",$B$5="",$B$6="",11&gt;$B$6),"",F21)</f>
        <v/>
      </c>
      <c r="C22" s="359">
        <f>IF(OR($B$4="",$B$5="",$B$6="",11&gt;$B$6),"",B22*$B$5)</f>
        <v/>
      </c>
      <c r="D22" s="359">
        <f>IF(OR($B$4="",$B$5="",$B$6="",11&gt;$B$6),"",IF(11=$B$6,B22,0))</f>
        <v/>
      </c>
      <c r="E22" s="359">
        <f>IF(OR($B$4="",$B$5="",$B$6="",11&gt;$B$6),"",C22+D22)</f>
        <v/>
      </c>
      <c r="F22" s="361">
        <f>IF(OR($B$4="",$B$5="",$B$6="",11&gt;$B$6),"",B22-D22)</f>
        <v/>
      </c>
    </row>
    <row r="23" ht="21" customHeight="1" s="134">
      <c r="A23" s="392">
        <f>IF(OR(OR($B$4="",$B$5="",$B$6="",12&gt;$B$6),$B$7=""),"",EDATE($B$7,12*11))</f>
        <v/>
      </c>
      <c r="B23" s="363">
        <f>IF(OR($B$4="",$B$5="",$B$6="",12&gt;$B$6),"",F22)</f>
        <v/>
      </c>
      <c r="C23" s="363">
        <f>IF(OR($B$4="",$B$5="",$B$6="",12&gt;$B$6),"",B23*$B$5)</f>
        <v/>
      </c>
      <c r="D23" s="363">
        <f>IF(OR($B$4="",$B$5="",$B$6="",12&gt;$B$6),"",IF(12=$B$6,B23,0))</f>
        <v/>
      </c>
      <c r="E23" s="363">
        <f>IF(OR($B$4="",$B$5="",$B$6="",12&gt;$B$6),"",C23+D23)</f>
        <v/>
      </c>
      <c r="F23" s="365">
        <f>IF(OR($B$4="",$B$5="",$B$6="",12&gt;$B$6),"",B23-D23)</f>
        <v/>
      </c>
    </row>
    <row r="24" ht="21" customHeight="1" s="134">
      <c r="A24" s="391">
        <f>IF(OR(OR($B$4="",$B$5="",$B$6="",13&gt;$B$6),$B$7=""),"",EDATE($B$7,12*12))</f>
        <v/>
      </c>
      <c r="B24" s="359">
        <f>IF(OR($B$4="",$B$5="",$B$6="",13&gt;$B$6),"",F23)</f>
        <v/>
      </c>
      <c r="C24" s="359">
        <f>IF(OR($B$4="",$B$5="",$B$6="",13&gt;$B$6),"",B24*$B$5)</f>
        <v/>
      </c>
      <c r="D24" s="359">
        <f>IF(OR($B$4="",$B$5="",$B$6="",13&gt;$B$6),"",IF(13=$B$6,B24,0))</f>
        <v/>
      </c>
      <c r="E24" s="359">
        <f>IF(OR($B$4="",$B$5="",$B$6="",13&gt;$B$6),"",C24+D24)</f>
        <v/>
      </c>
      <c r="F24" s="361">
        <f>IF(OR($B$4="",$B$5="",$B$6="",13&gt;$B$6),"",B24-D24)</f>
        <v/>
      </c>
    </row>
    <row r="25" ht="21" customHeight="1" s="134">
      <c r="A25" s="392">
        <f>IF(OR(OR($B$4="",$B$5="",$B$6="",14&gt;$B$6),$B$7=""),"",EDATE($B$7,12*13))</f>
        <v/>
      </c>
      <c r="B25" s="363">
        <f>IF(OR($B$4="",$B$5="",$B$6="",14&gt;$B$6),"",F24)</f>
        <v/>
      </c>
      <c r="C25" s="363">
        <f>IF(OR($B$4="",$B$5="",$B$6="",14&gt;$B$6),"",B25*$B$5)</f>
        <v/>
      </c>
      <c r="D25" s="363">
        <f>IF(OR($B$4="",$B$5="",$B$6="",14&gt;$B$6),"",IF(14=$B$6,B25,0))</f>
        <v/>
      </c>
      <c r="E25" s="363">
        <f>IF(OR($B$4="",$B$5="",$B$6="",14&gt;$B$6),"",C25+D25)</f>
        <v/>
      </c>
      <c r="F25" s="365">
        <f>IF(OR($B$4="",$B$5="",$B$6="",14&gt;$B$6),"",B25-D25)</f>
        <v/>
      </c>
    </row>
    <row r="26" ht="21" customHeight="1" s="134">
      <c r="A26" s="391">
        <f>IF(OR(OR($B$4="",$B$5="",$B$6="",15&gt;$B$6),$B$7=""),"",EDATE($B$7,12*14))</f>
        <v/>
      </c>
      <c r="B26" s="359">
        <f>IF(OR($B$4="",$B$5="",$B$6="",15&gt;$B$6),"",F25)</f>
        <v/>
      </c>
      <c r="C26" s="359">
        <f>IF(OR($B$4="",$B$5="",$B$6="",15&gt;$B$6),"",B26*$B$5)</f>
        <v/>
      </c>
      <c r="D26" s="359">
        <f>IF(OR($B$4="",$B$5="",$B$6="",15&gt;$B$6),"",IF(15=$B$6,B26,0))</f>
        <v/>
      </c>
      <c r="E26" s="359">
        <f>IF(OR($B$4="",$B$5="",$B$6="",15&gt;$B$6),"",C26+D26)</f>
        <v/>
      </c>
      <c r="F26" s="361">
        <f>IF(OR($B$4="",$B$5="",$B$6="",15&gt;$B$6),"",B26-D26)</f>
        <v/>
      </c>
    </row>
    <row r="27" ht="21" customHeight="1" s="134">
      <c r="A27" s="393" t="inlineStr">
        <is>
          <t>TOTAL</t>
        </is>
      </c>
      <c r="B27" s="394" t="n"/>
      <c r="C27" s="395">
        <f>SUM(C12:C26)</f>
        <v/>
      </c>
      <c r="D27" s="395">
        <f>SUM(D12:D26)</f>
        <v/>
      </c>
      <c r="E27" s="395">
        <f>SUM(E12:E26)</f>
        <v/>
      </c>
      <c r="F27" s="396" t="n"/>
    </row>
    <row r="29">
      <c r="A29" s="78" t="inlineStr">
        <is>
          <t>Intérêts identiques chaque année ; tout le capital est remboursé à la dernière échéance (annuité finale = capital + intérêts).</t>
        </is>
      </c>
    </row>
    <row r="31" ht="22" customHeight="1" s="134">
      <c r="A31" s="203" t="inlineStr">
        <is>
          <t>Comment ça marche : les formules, cellule par cellule</t>
        </is>
      </c>
      <c r="B31" s="532" t="n"/>
      <c r="C31" s="532" t="n"/>
      <c r="D31" s="532" t="n"/>
      <c r="E31" s="532" t="n"/>
      <c r="F31" s="532" t="n"/>
      <c r="G31" s="532" t="n"/>
      <c r="H31" s="533" t="n"/>
    </row>
    <row r="32" ht="33" customHeight="1" s="134">
      <c r="A32" s="309" t="inlineStr">
        <is>
          <t>Cellules jaunes : montant, taux, durée et date de la première échéance à saisir. Le tableau compte au maximum 15 échéances ; les lignes au-delà de la durée restent vides.</t>
        </is>
      </c>
      <c r="B32" s="532" t="n"/>
      <c r="C32" s="532" t="n"/>
      <c r="D32" s="532" t="n"/>
      <c r="E32" s="532" t="n"/>
      <c r="F32" s="532" t="n"/>
      <c r="G32" s="532" t="n"/>
      <c r="H32" s="533" t="n"/>
    </row>
    <row r="33">
      <c r="A33" s="204" t="inlineStr">
        <is>
          <t>Cellule(s)</t>
        </is>
      </c>
      <c r="B33" s="204" t="inlineStr">
        <is>
          <t>Formule (Excel en français)</t>
        </is>
      </c>
      <c r="C33" s="533" t="n"/>
      <c r="D33" s="204" t="inlineStr">
        <is>
          <t>Ce qu'elle fait</t>
        </is>
      </c>
      <c r="E33" s="532" t="n"/>
      <c r="F33" s="532" t="n"/>
      <c r="G33" s="532" t="n"/>
      <c r="H33" s="533" t="n"/>
    </row>
    <row r="34" ht="19" customHeight="1" s="134">
      <c r="A34" s="205" t="inlineStr">
        <is>
          <t>B9</t>
        </is>
      </c>
      <c r="B34" s="206" t="inlineStr">
        <is>
          <t>=B4</t>
        </is>
      </c>
      <c r="C34" s="533" t="n"/>
      <c r="D34" s="200" t="inlineStr">
        <is>
          <t>Capital remboursé en une seule fois, à l'échéance finale.</t>
        </is>
      </c>
      <c r="E34" s="532" t="n"/>
      <c r="F34" s="532" t="n"/>
      <c r="G34" s="532" t="n"/>
      <c r="H34" s="533" t="n"/>
    </row>
    <row r="35" ht="19" customHeight="1" s="134">
      <c r="A35" s="207" t="inlineStr">
        <is>
          <t>A12:A26</t>
        </is>
      </c>
      <c r="B35" s="208" t="inlineStr">
        <is>
          <t>=MOIS.DECALER(B7;12*n)</t>
        </is>
      </c>
      <c r="C35" s="533" t="n"/>
      <c r="D35" s="202" t="inlineStr">
        <is>
          <t>Dates d'échéance : première date saisie, puis +12 mois à chaque ligne.</t>
        </is>
      </c>
      <c r="E35" s="532" t="n"/>
      <c r="F35" s="532" t="n"/>
      <c r="G35" s="532" t="n"/>
      <c r="H35" s="533" t="n"/>
    </row>
    <row r="36" ht="19" customHeight="1" s="134">
      <c r="A36" s="205" t="inlineStr">
        <is>
          <t>B12 · B13:B26</t>
        </is>
      </c>
      <c r="B36" s="206" t="inlineStr">
        <is>
          <t>=B4   puis   =F12</t>
        </is>
      </c>
      <c r="C36" s="533" t="n"/>
      <c r="D36" s="200" t="inlineStr">
        <is>
          <t>Capital restant dû en début de période.</t>
        </is>
      </c>
      <c r="E36" s="532" t="n"/>
      <c r="F36" s="532" t="n"/>
      <c r="G36" s="532" t="n"/>
      <c r="H36" s="533" t="n"/>
    </row>
    <row r="37" ht="19" customHeight="1" s="134">
      <c r="A37" s="207" t="inlineStr">
        <is>
          <t>C12:C26</t>
        </is>
      </c>
      <c r="B37" s="208" t="inlineStr">
        <is>
          <t>=B12*$B$5</t>
        </is>
      </c>
      <c r="C37" s="533" t="n"/>
      <c r="D37" s="202" t="inlineStr">
        <is>
          <t>Intérêts : identiques chaque année, puisque le capital ne baisse pas.</t>
        </is>
      </c>
      <c r="E37" s="532" t="n"/>
      <c r="F37" s="532" t="n"/>
      <c r="G37" s="532" t="n"/>
      <c r="H37" s="533" t="n"/>
    </row>
    <row r="38" ht="19" customHeight="1" s="134">
      <c r="A38" s="205" t="inlineStr">
        <is>
          <t>D12:D26</t>
        </is>
      </c>
      <c r="B38" s="206" t="inlineStr">
        <is>
          <t>=SI(n=$B$6;B12;0)</t>
        </is>
      </c>
      <c r="C38" s="533" t="n"/>
      <c r="D38" s="200" t="inlineStr">
        <is>
          <t>Amortissement du capital : zéro jusqu'à la dernière échéance, où tout le capital est remboursé.</t>
        </is>
      </c>
      <c r="E38" s="532" t="n"/>
      <c r="F38" s="532" t="n"/>
      <c r="G38" s="532" t="n"/>
      <c r="H38" s="533" t="n"/>
    </row>
    <row r="39" ht="19" customHeight="1" s="134">
      <c r="A39" s="207" t="inlineStr">
        <is>
          <t>E12:E26</t>
        </is>
      </c>
      <c r="B39" s="208" t="inlineStr">
        <is>
          <t>=C12+D12</t>
        </is>
      </c>
      <c r="C39" s="533" t="n"/>
      <c r="D39" s="202" t="inlineStr">
        <is>
          <t>Annuité : intérêts seuls, puis capital + intérêts à la dernière échéance.</t>
        </is>
      </c>
      <c r="E39" s="532" t="n"/>
      <c r="F39" s="532" t="n"/>
      <c r="G39" s="532" t="n"/>
      <c r="H39" s="533" t="n"/>
    </row>
    <row r="40" ht="19" customHeight="1" s="134">
      <c r="A40" s="205" t="inlineStr">
        <is>
          <t>F12:F26</t>
        </is>
      </c>
      <c r="B40" s="206" t="inlineStr">
        <is>
          <t>=B12-D12</t>
        </is>
      </c>
      <c r="C40" s="533" t="n"/>
      <c r="D40" s="200" t="inlineStr">
        <is>
          <t>Capital restant dû en fin de période : 0 après le dernier remboursement.</t>
        </is>
      </c>
      <c r="E40" s="532" t="n"/>
      <c r="F40" s="532" t="n"/>
      <c r="G40" s="532" t="n"/>
      <c r="H40" s="533" t="n"/>
    </row>
    <row r="41" ht="19" customHeight="1" s="134">
      <c r="A41" s="207" t="inlineStr">
        <is>
          <t>C27 · D27 · E27</t>
        </is>
      </c>
      <c r="B41" s="208" t="inlineStr">
        <is>
          <t>=SOMME(C12:C26)</t>
        </is>
      </c>
      <c r="C41" s="533" t="n"/>
      <c r="D41" s="202" t="inlineStr">
        <is>
          <t>Totaux des intérêts, du capital remboursé et des annuités.</t>
        </is>
      </c>
      <c r="E41" s="532" t="n"/>
      <c r="F41" s="532" t="n"/>
      <c r="G41" s="532" t="n"/>
      <c r="H41" s="533" t="n"/>
    </row>
  </sheetData>
  <mergeCells count="20">
    <mergeCell ref="D35:H35"/>
    <mergeCell ref="D34:H34"/>
    <mergeCell ref="D40:H40"/>
    <mergeCell ref="D36:H36"/>
    <mergeCell ref="B39:C39"/>
    <mergeCell ref="D41:H41"/>
    <mergeCell ref="B38:C38"/>
    <mergeCell ref="B34:C34"/>
    <mergeCell ref="B37:C37"/>
    <mergeCell ref="D37:H37"/>
    <mergeCell ref="B40:C40"/>
    <mergeCell ref="A32:H32"/>
    <mergeCell ref="D39:H39"/>
    <mergeCell ref="B33:C33"/>
    <mergeCell ref="A31:H31"/>
    <mergeCell ref="D33:H33"/>
    <mergeCell ref="B36:C36"/>
    <mergeCell ref="D38:H38"/>
    <mergeCell ref="B41:C41"/>
    <mergeCell ref="B35:C35"/>
  </mergeCells>
  <pageMargins left="0.75" right="0.75" top="1" bottom="1" header="0.5" footer="0.5"/>
  <pageSetup orientation="landscape" fitToHeight="0" fitToWidth="1"/>
</worksheet>
</file>

<file path=xl/worksheets/sheet13.xml><?xml version="1.0" encoding="utf-8"?>
<worksheet xmlns="http://schemas.openxmlformats.org/spreadsheetml/2006/main">
  <sheetPr>
    <tabColor rgb="008A97A5"/>
    <outlinePr summaryBelow="1" summaryRight="1"/>
    <pageSetUpPr/>
  </sheetPr>
  <dimension ref="A1:D8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style="134" min="1" max="1"/>
    <col width="80" customWidth="1" style="134" min="2" max="2"/>
    <col width="3" customWidth="1" style="134" min="3" max="3"/>
    <col width="90" customWidth="1" style="134" min="4" max="4"/>
  </cols>
  <sheetData>
    <row r="1">
      <c r="A1" s="397" t="inlineStr">
        <is>
          <t>N° compte</t>
        </is>
      </c>
      <c r="B1" s="397" t="inlineStr">
        <is>
          <t>Intitulé</t>
        </is>
      </c>
      <c r="D1" s="398" t="inlineStr">
        <is>
          <t>Source : plan de comptes de l'ANC (règlement n° 2014-03), version au 1er janvier 2026.</t>
        </is>
      </c>
    </row>
    <row r="2">
      <c r="A2" s="399" t="inlineStr">
        <is>
          <t>10</t>
        </is>
      </c>
      <c r="B2" s="400" t="inlineStr">
        <is>
          <t>Capital et réserves</t>
        </is>
      </c>
      <c r="D2" s="398" t="inlineStr">
        <is>
          <t>Les numéros plus longs que ceux de cette liste se rattachent au compte le plus précis (ex. 707000 → 707, 445662 → 44566).</t>
        </is>
      </c>
    </row>
    <row r="3">
      <c r="A3" s="399" t="inlineStr">
        <is>
          <t>101</t>
        </is>
      </c>
      <c r="B3" s="400" t="inlineStr">
        <is>
          <t>Capital</t>
        </is>
      </c>
    </row>
    <row r="4">
      <c r="A4" s="399" t="inlineStr">
        <is>
          <t>1011</t>
        </is>
      </c>
      <c r="B4" s="400" t="inlineStr">
        <is>
          <t>Capital souscrit - non appelé</t>
        </is>
      </c>
    </row>
    <row r="5">
      <c r="A5" s="399" t="inlineStr">
        <is>
          <t>1012</t>
        </is>
      </c>
      <c r="B5" s="400" t="inlineStr">
        <is>
          <t>Capital souscrit - appelé, non versé</t>
        </is>
      </c>
    </row>
    <row r="6">
      <c r="A6" s="399" t="inlineStr">
        <is>
          <t>1013</t>
        </is>
      </c>
      <c r="B6" s="400" t="inlineStr">
        <is>
          <t>Capital souscrit - appelé, versé</t>
        </is>
      </c>
    </row>
    <row r="7">
      <c r="A7" s="399" t="inlineStr">
        <is>
          <t>10131</t>
        </is>
      </c>
      <c r="B7" s="400" t="inlineStr">
        <is>
          <t>Capital non amorti</t>
        </is>
      </c>
    </row>
    <row r="8">
      <c r="A8" s="399" t="inlineStr">
        <is>
          <t>10132</t>
        </is>
      </c>
      <c r="B8" s="400" t="inlineStr">
        <is>
          <t>Capital amorti</t>
        </is>
      </c>
    </row>
    <row r="9">
      <c r="A9" s="399" t="inlineStr">
        <is>
          <t>1018</t>
        </is>
      </c>
      <c r="B9" s="400" t="inlineStr">
        <is>
          <t>Capital souscrit soumis à des réglementations particulières</t>
        </is>
      </c>
    </row>
    <row r="10">
      <c r="A10" s="399" t="inlineStr">
        <is>
          <t>102</t>
        </is>
      </c>
      <c r="B10" s="400" t="inlineStr">
        <is>
          <t>Fonds fiduciaires</t>
        </is>
      </c>
    </row>
    <row r="11">
      <c r="A11" s="399" t="inlineStr">
        <is>
          <t>104</t>
        </is>
      </c>
      <c r="B11" s="400" t="inlineStr">
        <is>
          <t>Primes liées au capital</t>
        </is>
      </c>
    </row>
    <row r="12">
      <c r="A12" s="399" t="inlineStr">
        <is>
          <t>1041</t>
        </is>
      </c>
      <c r="B12" s="400" t="inlineStr">
        <is>
          <t>Primes d'émission</t>
        </is>
      </c>
    </row>
    <row r="13">
      <c r="A13" s="399" t="inlineStr">
        <is>
          <t>1042</t>
        </is>
      </c>
      <c r="B13" s="400" t="inlineStr">
        <is>
          <t>Primes de fusion</t>
        </is>
      </c>
    </row>
    <row r="14">
      <c r="A14" s="399" t="inlineStr">
        <is>
          <t>1043</t>
        </is>
      </c>
      <c r="B14" s="400" t="inlineStr">
        <is>
          <t>Primes d'apport</t>
        </is>
      </c>
    </row>
    <row r="15">
      <c r="A15" s="399" t="inlineStr">
        <is>
          <t>1044</t>
        </is>
      </c>
      <c r="B15" s="400" t="inlineStr">
        <is>
          <t>Primes de conversion d'obligations en actions</t>
        </is>
      </c>
    </row>
    <row r="16">
      <c r="A16" s="399" t="inlineStr">
        <is>
          <t>1045</t>
        </is>
      </c>
      <c r="B16" s="400" t="inlineStr">
        <is>
          <t>Bons de souscription de titres en capital</t>
        </is>
      </c>
    </row>
    <row r="17">
      <c r="A17" s="399" t="inlineStr">
        <is>
          <t>105</t>
        </is>
      </c>
      <c r="B17" s="400" t="inlineStr">
        <is>
          <t>Écarts de réévaluation</t>
        </is>
      </c>
    </row>
    <row r="18">
      <c r="A18" s="399" t="inlineStr">
        <is>
          <t>106</t>
        </is>
      </c>
      <c r="B18" s="400" t="inlineStr">
        <is>
          <t>Réserves</t>
        </is>
      </c>
    </row>
    <row r="19">
      <c r="A19" s="399" t="inlineStr">
        <is>
          <t>1061</t>
        </is>
      </c>
      <c r="B19" s="400" t="inlineStr">
        <is>
          <t>Réserve légale</t>
        </is>
      </c>
    </row>
    <row r="20">
      <c r="A20" s="399" t="inlineStr">
        <is>
          <t>1062</t>
        </is>
      </c>
      <c r="B20" s="400" t="inlineStr">
        <is>
          <t>Réserves indisponibles</t>
        </is>
      </c>
    </row>
    <row r="21">
      <c r="A21" s="399" t="inlineStr">
        <is>
          <t>1063</t>
        </is>
      </c>
      <c r="B21" s="400" t="inlineStr">
        <is>
          <t>Réserves statutaires ou contractuelles</t>
        </is>
      </c>
    </row>
    <row r="22">
      <c r="A22" s="399" t="inlineStr">
        <is>
          <t>1064</t>
        </is>
      </c>
      <c r="B22" s="400" t="inlineStr">
        <is>
          <t>Réserves réglementées</t>
        </is>
      </c>
    </row>
    <row r="23">
      <c r="A23" s="399" t="inlineStr">
        <is>
          <t>1068</t>
        </is>
      </c>
      <c r="B23" s="400" t="inlineStr">
        <is>
          <t>Autres réserves</t>
        </is>
      </c>
    </row>
    <row r="24">
      <c r="A24" s="399" t="inlineStr">
        <is>
          <t>107</t>
        </is>
      </c>
      <c r="B24" s="400" t="inlineStr">
        <is>
          <t>Écart d'équivalence</t>
        </is>
      </c>
    </row>
    <row r="25">
      <c r="A25" s="399" t="inlineStr">
        <is>
          <t>108</t>
        </is>
      </c>
      <c r="B25" s="400" t="inlineStr">
        <is>
          <t>Compte de l'exploitant</t>
        </is>
      </c>
    </row>
    <row r="26">
      <c r="A26" s="399" t="inlineStr">
        <is>
          <t>109</t>
        </is>
      </c>
      <c r="B26" s="400" t="inlineStr">
        <is>
          <t>Actionnaires : capital souscrit - non appelé</t>
        </is>
      </c>
    </row>
    <row r="27">
      <c r="A27" s="399" t="inlineStr">
        <is>
          <t>11</t>
        </is>
      </c>
      <c r="B27" s="400" t="inlineStr">
        <is>
          <t>Report à nouveau</t>
        </is>
      </c>
    </row>
    <row r="28">
      <c r="A28" s="399" t="inlineStr">
        <is>
          <t>110</t>
        </is>
      </c>
      <c r="B28" s="400" t="inlineStr">
        <is>
          <t>Report à nouveau - solde créditeur</t>
        </is>
      </c>
    </row>
    <row r="29">
      <c r="A29" s="399" t="inlineStr">
        <is>
          <t>119</t>
        </is>
      </c>
      <c r="B29" s="400" t="inlineStr">
        <is>
          <t>Report à nouveau - solde débiteur</t>
        </is>
      </c>
    </row>
    <row r="30">
      <c r="A30" s="399" t="inlineStr">
        <is>
          <t>12</t>
        </is>
      </c>
      <c r="B30" s="400" t="inlineStr">
        <is>
          <t>Résultat de l'exercice</t>
        </is>
      </c>
    </row>
    <row r="31">
      <c r="A31" s="399" t="inlineStr">
        <is>
          <t>120</t>
        </is>
      </c>
      <c r="B31" s="400" t="inlineStr">
        <is>
          <t>Résultat de l'exercice - bénéfice</t>
        </is>
      </c>
    </row>
    <row r="32">
      <c r="A32" s="399" t="inlineStr">
        <is>
          <t>1209</t>
        </is>
      </c>
      <c r="B32" s="400" t="inlineStr">
        <is>
          <t>Acomptes sur dividendes</t>
        </is>
      </c>
    </row>
    <row r="33">
      <c r="A33" s="399" t="inlineStr">
        <is>
          <t>129</t>
        </is>
      </c>
      <c r="B33" s="400" t="inlineStr">
        <is>
          <t>Résultat de l'exercice – perte</t>
        </is>
      </c>
    </row>
    <row r="34">
      <c r="A34" s="399" t="inlineStr">
        <is>
          <t>13</t>
        </is>
      </c>
      <c r="B34" s="400" t="inlineStr">
        <is>
          <t>Subventions d'investissement</t>
        </is>
      </c>
    </row>
    <row r="35">
      <c r="A35" s="399" t="inlineStr">
        <is>
          <t>131</t>
        </is>
      </c>
      <c r="B35" s="400" t="inlineStr">
        <is>
          <t>Subventions d'investissement octroyées</t>
        </is>
      </c>
    </row>
    <row r="36">
      <c r="A36" s="399" t="inlineStr">
        <is>
          <t>139</t>
        </is>
      </c>
      <c r="B36" s="400" t="inlineStr">
        <is>
          <t>Subventions d'investissement inscrites au compte de résultat</t>
        </is>
      </c>
    </row>
    <row r="37">
      <c r="A37" s="399" t="inlineStr">
        <is>
          <t>14</t>
        </is>
      </c>
      <c r="B37" s="400" t="inlineStr">
        <is>
          <t>Provisions réglementées</t>
        </is>
      </c>
    </row>
    <row r="38">
      <c r="A38" s="399" t="inlineStr">
        <is>
          <t>143</t>
        </is>
      </c>
      <c r="B38" s="400" t="inlineStr">
        <is>
          <t>Provisions réglementées pour hausse de prix</t>
        </is>
      </c>
    </row>
    <row r="39">
      <c r="A39" s="399" t="inlineStr">
        <is>
          <t>145</t>
        </is>
      </c>
      <c r="B39" s="400" t="inlineStr">
        <is>
          <t>Amortissements dérogatoires</t>
        </is>
      </c>
    </row>
    <row r="40">
      <c r="A40" s="399" t="inlineStr">
        <is>
          <t>148</t>
        </is>
      </c>
      <c r="B40" s="400" t="inlineStr">
        <is>
          <t>Autres provisions réglementées</t>
        </is>
      </c>
    </row>
    <row r="41">
      <c r="A41" s="399" t="inlineStr">
        <is>
          <t>15</t>
        </is>
      </c>
      <c r="B41" s="400" t="inlineStr">
        <is>
          <t>Provisions</t>
        </is>
      </c>
    </row>
    <row r="42">
      <c r="A42" s="399" t="inlineStr">
        <is>
          <t>151</t>
        </is>
      </c>
      <c r="B42" s="400" t="inlineStr">
        <is>
          <t>Provisions pour risques</t>
        </is>
      </c>
    </row>
    <row r="43">
      <c r="A43" s="399" t="inlineStr">
        <is>
          <t>1511</t>
        </is>
      </c>
      <c r="B43" s="400" t="inlineStr">
        <is>
          <t>Provisions pour litiges</t>
        </is>
      </c>
    </row>
    <row r="44">
      <c r="A44" s="399" t="inlineStr">
        <is>
          <t>1512</t>
        </is>
      </c>
      <c r="B44" s="400" t="inlineStr">
        <is>
          <t>Provisions pour garanties données aux clients</t>
        </is>
      </c>
    </row>
    <row r="45">
      <c r="A45" s="399" t="inlineStr">
        <is>
          <t>1514</t>
        </is>
      </c>
      <c r="B45" s="400" t="inlineStr">
        <is>
          <t>Provisions pour amendes et pénalités</t>
        </is>
      </c>
    </row>
    <row r="46">
      <c r="A46" s="399" t="inlineStr">
        <is>
          <t>1515</t>
        </is>
      </c>
      <c r="B46" s="400" t="inlineStr">
        <is>
          <t>Provisions pour pertes de change</t>
        </is>
      </c>
    </row>
    <row r="47">
      <c r="A47" s="399" t="inlineStr">
        <is>
          <t>1516</t>
        </is>
      </c>
      <c r="B47" s="400" t="inlineStr">
        <is>
          <t>Provisions pour pertes sur contrats</t>
        </is>
      </c>
    </row>
    <row r="48">
      <c r="A48" s="399" t="inlineStr">
        <is>
          <t>1518</t>
        </is>
      </c>
      <c r="B48" s="400" t="inlineStr">
        <is>
          <t>Autres provisions pour risques</t>
        </is>
      </c>
    </row>
    <row r="49">
      <c r="A49" s="399" t="inlineStr">
        <is>
          <t>152</t>
        </is>
      </c>
      <c r="B49" s="400" t="inlineStr">
        <is>
          <t>Provisions pour charges</t>
        </is>
      </c>
    </row>
    <row r="50">
      <c r="A50" s="399" t="inlineStr">
        <is>
          <t>1521</t>
        </is>
      </c>
      <c r="B50" s="400" t="inlineStr">
        <is>
          <t>Provisions pour pensions et obligations similaires</t>
        </is>
      </c>
    </row>
    <row r="51">
      <c r="A51" s="399" t="inlineStr">
        <is>
          <t>1522</t>
        </is>
      </c>
      <c r="B51" s="400" t="inlineStr">
        <is>
          <t>Provisions pour restructurations</t>
        </is>
      </c>
    </row>
    <row r="52">
      <c r="A52" s="399" t="inlineStr">
        <is>
          <t>1523</t>
        </is>
      </c>
      <c r="B52" s="400" t="inlineStr">
        <is>
          <t>Provisions pour impôts</t>
        </is>
      </c>
    </row>
    <row r="53">
      <c r="A53" s="399" t="inlineStr">
        <is>
          <t>1524</t>
        </is>
      </c>
      <c r="B53" s="400" t="inlineStr">
        <is>
          <t>Provisions pour renouvellement des immobilisations - entreprises concessionnaires</t>
        </is>
      </c>
    </row>
    <row r="54">
      <c r="A54" s="399" t="inlineStr">
        <is>
          <t>1525</t>
        </is>
      </c>
      <c r="B54" s="400" t="inlineStr">
        <is>
          <t>Provisions pour gros entretien ou grandes révisions</t>
        </is>
      </c>
    </row>
    <row r="55">
      <c r="A55" s="399" t="inlineStr">
        <is>
          <t>1526</t>
        </is>
      </c>
      <c r="B55" s="400" t="inlineStr">
        <is>
          <t>Provisions pour remise en état</t>
        </is>
      </c>
    </row>
    <row r="56">
      <c r="A56" s="399" t="inlineStr">
        <is>
          <t>1527</t>
        </is>
      </c>
      <c r="B56" s="400" t="inlineStr">
        <is>
          <t>Autres provisions pour charges</t>
        </is>
      </c>
    </row>
    <row r="57">
      <c r="A57" s="399" t="inlineStr">
        <is>
          <t>16</t>
        </is>
      </c>
      <c r="B57" s="400" t="inlineStr">
        <is>
          <t>Emprunts et dettes assimilées, fonds non remboursables et avances conditionnées</t>
        </is>
      </c>
    </row>
    <row r="58">
      <c r="A58" s="399" t="inlineStr">
        <is>
          <t>161</t>
        </is>
      </c>
      <c r="B58" s="400" t="inlineStr">
        <is>
          <t>Emprunts obligataires convertibles si non-inscrits dans le compte 167</t>
        </is>
      </c>
    </row>
    <row r="59">
      <c r="A59" s="399" t="inlineStr">
        <is>
          <t>1618</t>
        </is>
      </c>
      <c r="B59" s="400" t="inlineStr">
        <is>
          <t>Intérêts courus sur emprunts obligataires convertibles</t>
        </is>
      </c>
    </row>
    <row r="60">
      <c r="A60" s="399" t="inlineStr">
        <is>
          <t>162</t>
        </is>
      </c>
      <c r="B60" s="400" t="inlineStr">
        <is>
          <t>Obligations représentatives de passifs nets remis en fiducie si non-inscrites dans le compte 167</t>
        </is>
      </c>
    </row>
    <row r="61">
      <c r="A61" s="399" t="inlineStr">
        <is>
          <t>163</t>
        </is>
      </c>
      <c r="B61" s="400" t="inlineStr">
        <is>
          <t>Autres emprunts obligataires si non-inscrits dans le compte 167</t>
        </is>
      </c>
    </row>
    <row r="62">
      <c r="A62" s="399" t="inlineStr">
        <is>
          <t>1638</t>
        </is>
      </c>
      <c r="B62" s="400" t="inlineStr">
        <is>
          <t>Intérêts courus sur autres emprunts obligataires</t>
        </is>
      </c>
    </row>
    <row r="63">
      <c r="A63" s="399" t="inlineStr">
        <is>
          <t>164</t>
        </is>
      </c>
      <c r="B63" s="400" t="inlineStr">
        <is>
          <t>Emprunts auprès des établissements de crédit si non-inscrits dans le compte 167</t>
        </is>
      </c>
    </row>
    <row r="64">
      <c r="A64" s="399" t="inlineStr">
        <is>
          <t>1648</t>
        </is>
      </c>
      <c r="B64" s="400" t="inlineStr">
        <is>
          <t>Intérêts courus sur emprunts auprès des établissements de crédit</t>
        </is>
      </c>
    </row>
    <row r="65">
      <c r="A65" s="399" t="inlineStr">
        <is>
          <t>165</t>
        </is>
      </c>
      <c r="B65" s="400" t="inlineStr">
        <is>
          <t>Dépôts et cautionnements reçus</t>
        </is>
      </c>
    </row>
    <row r="66">
      <c r="A66" s="399" t="inlineStr">
        <is>
          <t>1651</t>
        </is>
      </c>
      <c r="B66" s="400" t="inlineStr">
        <is>
          <t>Dépôts</t>
        </is>
      </c>
    </row>
    <row r="67">
      <c r="A67" s="399" t="inlineStr">
        <is>
          <t>1655</t>
        </is>
      </c>
      <c r="B67" s="400" t="inlineStr">
        <is>
          <t>Cautionnements</t>
        </is>
      </c>
    </row>
    <row r="68">
      <c r="A68" s="399" t="inlineStr">
        <is>
          <t>1658</t>
        </is>
      </c>
      <c r="B68" s="400" t="inlineStr">
        <is>
          <t>Intérêts courus sur dépôts et cautionnements reçus</t>
        </is>
      </c>
    </row>
    <row r="69">
      <c r="A69" s="399" t="inlineStr">
        <is>
          <t>166</t>
        </is>
      </c>
      <c r="B69" s="400" t="inlineStr">
        <is>
          <t>Participation des salariés aux résultats</t>
        </is>
      </c>
    </row>
    <row r="70">
      <c r="A70" s="399" t="inlineStr">
        <is>
          <t>1661</t>
        </is>
      </c>
      <c r="B70" s="400" t="inlineStr">
        <is>
          <t>Comptes bloqués</t>
        </is>
      </c>
    </row>
    <row r="71">
      <c r="A71" s="399" t="inlineStr">
        <is>
          <t>1662</t>
        </is>
      </c>
      <c r="B71" s="400" t="inlineStr">
        <is>
          <t>Fonds de participation</t>
        </is>
      </c>
    </row>
    <row r="72">
      <c r="A72" s="399" t="inlineStr">
        <is>
          <t>1668</t>
        </is>
      </c>
      <c r="B72" s="400" t="inlineStr">
        <is>
          <t>Intérêts courus sur participation des salariés aux résultats</t>
        </is>
      </c>
    </row>
    <row r="73">
      <c r="A73" s="399" t="inlineStr">
        <is>
          <t>167</t>
        </is>
      </c>
      <c r="B73" s="400" t="inlineStr">
        <is>
          <t>Fonds non remboursables et avances conditionnées</t>
        </is>
      </c>
    </row>
    <row r="74">
      <c r="A74" s="399" t="inlineStr">
        <is>
          <t>1671</t>
        </is>
      </c>
      <c r="B74" s="400" t="inlineStr">
        <is>
          <t>Fonds non remboursables montant principal</t>
        </is>
      </c>
    </row>
    <row r="75">
      <c r="A75" s="399" t="inlineStr">
        <is>
          <t>16711</t>
        </is>
      </c>
      <c r="B75" s="400" t="inlineStr">
        <is>
          <t>Titres participatifs montant principal</t>
        </is>
      </c>
    </row>
    <row r="76">
      <c r="A76" s="399" t="inlineStr">
        <is>
          <t>16712</t>
        </is>
      </c>
      <c r="B76" s="400" t="inlineStr">
        <is>
          <t>Autres fonds non remboursables montant principal</t>
        </is>
      </c>
    </row>
    <row r="77">
      <c r="A77" s="399" t="inlineStr">
        <is>
          <t>1673</t>
        </is>
      </c>
      <c r="B77" s="400" t="inlineStr">
        <is>
          <t>Avances conditionnées montant principal</t>
        </is>
      </c>
    </row>
    <row r="78">
      <c r="A78" s="399" t="inlineStr">
        <is>
          <t>1674</t>
        </is>
      </c>
      <c r="B78" s="400" t="inlineStr">
        <is>
          <t>Avances conditionnées intérêts courus</t>
        </is>
      </c>
    </row>
    <row r="79">
      <c r="A79" s="399" t="inlineStr">
        <is>
          <t>168</t>
        </is>
      </c>
      <c r="B79" s="400" t="inlineStr">
        <is>
          <t>Autres emprunts et dettes assimilées</t>
        </is>
      </c>
    </row>
    <row r="80">
      <c r="A80" s="399" t="inlineStr">
        <is>
          <t>1681</t>
        </is>
      </c>
      <c r="B80" s="400" t="inlineStr">
        <is>
          <t>Autres emprunts</t>
        </is>
      </c>
    </row>
    <row r="81">
      <c r="A81" s="399" t="inlineStr">
        <is>
          <t>1682</t>
        </is>
      </c>
      <c r="B81" s="400" t="inlineStr">
        <is>
          <t>Emprunts participatifs</t>
        </is>
      </c>
    </row>
    <row r="82">
      <c r="A82" s="399" t="inlineStr">
        <is>
          <t>1685</t>
        </is>
      </c>
      <c r="B82" s="400" t="inlineStr">
        <is>
          <t>Rentes viagères capitalisées</t>
        </is>
      </c>
    </row>
    <row r="83">
      <c r="A83" s="399" t="inlineStr">
        <is>
          <t>1687</t>
        </is>
      </c>
      <c r="B83" s="400" t="inlineStr">
        <is>
          <t>Autres dettes</t>
        </is>
      </c>
    </row>
    <row r="84">
      <c r="A84" s="399" t="inlineStr">
        <is>
          <t>1688</t>
        </is>
      </c>
      <c r="B84" s="400" t="inlineStr">
        <is>
          <t>Intérêts courus sur autres emprunts et dettes assimilées</t>
        </is>
      </c>
    </row>
    <row r="85">
      <c r="A85" s="399" t="inlineStr">
        <is>
          <t>169</t>
        </is>
      </c>
      <c r="B85" s="400" t="inlineStr">
        <is>
          <t>Primes de remboursement des emprunts</t>
        </is>
      </c>
    </row>
    <row r="86">
      <c r="A86" s="399" t="inlineStr">
        <is>
          <t>17</t>
        </is>
      </c>
      <c r="B86" s="400" t="inlineStr">
        <is>
          <t>Dettes rattachées à des participations</t>
        </is>
      </c>
    </row>
    <row r="87">
      <c r="A87" s="399" t="inlineStr">
        <is>
          <t>171</t>
        </is>
      </c>
      <c r="B87" s="400" t="inlineStr">
        <is>
          <t>Dettes rattachées à des participations - groupe</t>
        </is>
      </c>
    </row>
    <row r="88">
      <c r="A88" s="399" t="inlineStr">
        <is>
          <t>174</t>
        </is>
      </c>
      <c r="B88" s="400" t="inlineStr">
        <is>
          <t>Dettes rattachées à des participations - hors groupe</t>
        </is>
      </c>
    </row>
    <row r="89">
      <c r="A89" s="399" t="inlineStr">
        <is>
          <t>178</t>
        </is>
      </c>
      <c r="B89" s="400" t="inlineStr">
        <is>
          <t>Dettes rattachées à des sociétés en participation</t>
        </is>
      </c>
    </row>
    <row r="90">
      <c r="A90" s="399" t="inlineStr">
        <is>
          <t>18</t>
        </is>
      </c>
      <c r="B90" s="400" t="inlineStr">
        <is>
          <t>Comptes de liaison des établissements et sociétés en participation</t>
        </is>
      </c>
    </row>
    <row r="91">
      <c r="A91" s="399" t="inlineStr">
        <is>
          <t>181</t>
        </is>
      </c>
      <c r="B91" s="400" t="inlineStr">
        <is>
          <t>Comptes de liaison des établissements</t>
        </is>
      </c>
    </row>
    <row r="92">
      <c r="A92" s="399" t="inlineStr">
        <is>
          <t>186</t>
        </is>
      </c>
      <c r="B92" s="400" t="inlineStr">
        <is>
          <t>Biens et prestations de services échangés entre établissements - charges</t>
        </is>
      </c>
    </row>
    <row r="93">
      <c r="A93" s="399" t="inlineStr">
        <is>
          <t>187</t>
        </is>
      </c>
      <c r="B93" s="400" t="inlineStr">
        <is>
          <t>Biens et prestations de services échangés entre établissements - produits</t>
        </is>
      </c>
    </row>
    <row r="94">
      <c r="A94" s="399" t="inlineStr">
        <is>
          <t>188</t>
        </is>
      </c>
      <c r="B94" s="400" t="inlineStr">
        <is>
          <t>Comptes de liaison des sociétés en participation</t>
        </is>
      </c>
    </row>
    <row r="95">
      <c r="A95" s="399" t="inlineStr">
        <is>
          <t>20</t>
        </is>
      </c>
      <c r="B95" s="400" t="inlineStr">
        <is>
          <t>Immobilisations incorporelles et frais d’établissement</t>
        </is>
      </c>
    </row>
    <row r="96">
      <c r="A96" s="399" t="inlineStr">
        <is>
          <t>201</t>
        </is>
      </c>
      <c r="B96" s="400" t="inlineStr">
        <is>
          <t>Frais d'établissement</t>
        </is>
      </c>
    </row>
    <row r="97">
      <c r="A97" s="399" t="inlineStr">
        <is>
          <t>2011</t>
        </is>
      </c>
      <c r="B97" s="400" t="inlineStr">
        <is>
          <t>Frais de constitution</t>
        </is>
      </c>
    </row>
    <row r="98">
      <c r="A98" s="399" t="inlineStr">
        <is>
          <t>2012</t>
        </is>
      </c>
      <c r="B98" s="400" t="inlineStr">
        <is>
          <t>Frais de premier établissement</t>
        </is>
      </c>
    </row>
    <row r="99">
      <c r="A99" s="399" t="inlineStr">
        <is>
          <t>20121</t>
        </is>
      </c>
      <c r="B99" s="400" t="inlineStr">
        <is>
          <t>Frais de prospection</t>
        </is>
      </c>
    </row>
    <row r="100">
      <c r="A100" s="399" t="inlineStr">
        <is>
          <t>20122</t>
        </is>
      </c>
      <c r="B100" s="400" t="inlineStr">
        <is>
          <t>Frais de publicité</t>
        </is>
      </c>
    </row>
    <row r="101">
      <c r="A101" s="399" t="inlineStr">
        <is>
          <t>2013</t>
        </is>
      </c>
      <c r="B101" s="400" t="inlineStr">
        <is>
          <t>Frais d'augmentation de capital et d'opérations diverses - fusions, scissions, transformations</t>
        </is>
      </c>
    </row>
    <row r="102">
      <c r="A102" s="399" t="inlineStr">
        <is>
          <t>203</t>
        </is>
      </c>
      <c r="B102" s="400" t="inlineStr">
        <is>
          <t>Frais de développement</t>
        </is>
      </c>
    </row>
    <row r="103">
      <c r="A103" s="399" t="inlineStr">
        <is>
          <t>205</t>
        </is>
      </c>
      <c r="B103" s="400" t="inlineStr">
        <is>
          <t>Concessions et droits similaires, brevets, licences, marques, procédés, solutions informatiques, droits et valeurs similaires</t>
        </is>
      </c>
    </row>
    <row r="104">
      <c r="A104" s="399" t="inlineStr">
        <is>
          <t>206</t>
        </is>
      </c>
      <c r="B104" s="400" t="inlineStr">
        <is>
          <t>Droit au bail</t>
        </is>
      </c>
    </row>
    <row r="105">
      <c r="A105" s="399" t="inlineStr">
        <is>
          <t>207</t>
        </is>
      </c>
      <c r="B105" s="400" t="inlineStr">
        <is>
          <t>Fonds commercial</t>
        </is>
      </c>
    </row>
    <row r="106">
      <c r="A106" s="399" t="inlineStr">
        <is>
          <t>208</t>
        </is>
      </c>
      <c r="B106" s="400" t="inlineStr">
        <is>
          <t>Autres immobilisations incorporelles</t>
        </is>
      </c>
    </row>
    <row r="107">
      <c r="A107" s="399" t="inlineStr">
        <is>
          <t>2081</t>
        </is>
      </c>
      <c r="B107" s="400" t="inlineStr">
        <is>
          <t>Mali de fusion sur actifs incorporels</t>
        </is>
      </c>
    </row>
    <row r="108">
      <c r="A108" s="399" t="inlineStr">
        <is>
          <t>21</t>
        </is>
      </c>
      <c r="B108" s="400" t="inlineStr">
        <is>
          <t>Immobilisations corporelles</t>
        </is>
      </c>
    </row>
    <row r="109">
      <c r="A109" s="399" t="inlineStr">
        <is>
          <t>211</t>
        </is>
      </c>
      <c r="B109" s="400" t="inlineStr">
        <is>
          <t>Terrains</t>
        </is>
      </c>
    </row>
    <row r="110">
      <c r="A110" s="399" t="inlineStr">
        <is>
          <t>2111</t>
        </is>
      </c>
      <c r="B110" s="400" t="inlineStr">
        <is>
          <t>Terrains nus</t>
        </is>
      </c>
    </row>
    <row r="111">
      <c r="A111" s="399" t="inlineStr">
        <is>
          <t>2112</t>
        </is>
      </c>
      <c r="B111" s="400" t="inlineStr">
        <is>
          <t>Terrains aménagés</t>
        </is>
      </c>
    </row>
    <row r="112">
      <c r="A112" s="399" t="inlineStr">
        <is>
          <t>2113</t>
        </is>
      </c>
      <c r="B112" s="400" t="inlineStr">
        <is>
          <t>Sous-sols et sur-sols</t>
        </is>
      </c>
    </row>
    <row r="113">
      <c r="A113" s="399" t="inlineStr">
        <is>
          <t>2114</t>
        </is>
      </c>
      <c r="B113" s="400" t="inlineStr">
        <is>
          <t>Terrains de carrières (Tréfonds)</t>
        </is>
      </c>
    </row>
    <row r="114">
      <c r="A114" s="399" t="inlineStr">
        <is>
          <t>2115</t>
        </is>
      </c>
      <c r="B114" s="400" t="inlineStr">
        <is>
          <t>Terrains bâtis</t>
        </is>
      </c>
    </row>
    <row r="115">
      <c r="A115" s="399" t="inlineStr">
        <is>
          <t>212</t>
        </is>
      </c>
      <c r="B115" s="400" t="inlineStr">
        <is>
          <t>Agencements et aménagements de terrains (même ventilation que celle du compte 211)</t>
        </is>
      </c>
    </row>
    <row r="116">
      <c r="A116" s="399" t="inlineStr">
        <is>
          <t>213</t>
        </is>
      </c>
      <c r="B116" s="400" t="inlineStr">
        <is>
          <t>Constructions</t>
        </is>
      </c>
    </row>
    <row r="117">
      <c r="A117" s="399" t="inlineStr">
        <is>
          <t>2131</t>
        </is>
      </c>
      <c r="B117" s="400" t="inlineStr">
        <is>
          <t>Bâtiments</t>
        </is>
      </c>
    </row>
    <row r="118">
      <c r="A118" s="399" t="inlineStr">
        <is>
          <t>2135</t>
        </is>
      </c>
      <c r="B118" s="400" t="inlineStr">
        <is>
          <t>Installations générales - agencements - aménagements des constructions</t>
        </is>
      </c>
    </row>
    <row r="119">
      <c r="A119" s="399" t="inlineStr">
        <is>
          <t>2138</t>
        </is>
      </c>
      <c r="B119" s="400" t="inlineStr">
        <is>
          <t>Ouvrages d'infrastructure</t>
        </is>
      </c>
    </row>
    <row r="120">
      <c r="A120" s="399" t="inlineStr">
        <is>
          <t>214</t>
        </is>
      </c>
      <c r="B120" s="400" t="inlineStr">
        <is>
          <t>Constructions sur sol d'autrui (même ventilation que celle du compte 213)</t>
        </is>
      </c>
    </row>
    <row r="121">
      <c r="A121" s="399" t="inlineStr">
        <is>
          <t>215</t>
        </is>
      </c>
      <c r="B121" s="400" t="inlineStr">
        <is>
          <t>Installations techniques, matériels et outillages industriels</t>
        </is>
      </c>
    </row>
    <row r="122">
      <c r="A122" s="399" t="inlineStr">
        <is>
          <t>2151</t>
        </is>
      </c>
      <c r="B122" s="400" t="inlineStr">
        <is>
          <t>Installations complexes spécialisées</t>
        </is>
      </c>
    </row>
    <row r="123">
      <c r="A123" s="399" t="inlineStr">
        <is>
          <t>21511</t>
        </is>
      </c>
      <c r="B123" s="400" t="inlineStr">
        <is>
          <t>Installations complexes spécialisées sur sol propre</t>
        </is>
      </c>
    </row>
    <row r="124">
      <c r="A124" s="399" t="inlineStr">
        <is>
          <t>21514</t>
        </is>
      </c>
      <c r="B124" s="400" t="inlineStr">
        <is>
          <t>Installations complexes spécialisées sur sol d'autrui</t>
        </is>
      </c>
    </row>
    <row r="125">
      <c r="A125" s="399" t="inlineStr">
        <is>
          <t>2153</t>
        </is>
      </c>
      <c r="B125" s="400" t="inlineStr">
        <is>
          <t>Installations à caractère spécifique</t>
        </is>
      </c>
    </row>
    <row r="126">
      <c r="A126" s="399" t="inlineStr">
        <is>
          <t>21531</t>
        </is>
      </c>
      <c r="B126" s="400" t="inlineStr">
        <is>
          <t>Installations à caractère spécifique sur sol propre</t>
        </is>
      </c>
    </row>
    <row r="127">
      <c r="A127" s="399" t="inlineStr">
        <is>
          <t>21534</t>
        </is>
      </c>
      <c r="B127" s="400" t="inlineStr">
        <is>
          <t>Installations à caractère spécifique sur sol d'autrui</t>
        </is>
      </c>
    </row>
    <row r="128">
      <c r="A128" s="399" t="inlineStr">
        <is>
          <t>2154</t>
        </is>
      </c>
      <c r="B128" s="400" t="inlineStr">
        <is>
          <t>Matériels industriels</t>
        </is>
      </c>
    </row>
    <row r="129">
      <c r="A129" s="399" t="inlineStr">
        <is>
          <t>2155</t>
        </is>
      </c>
      <c r="B129" s="400" t="inlineStr">
        <is>
          <t>Outillages industriels</t>
        </is>
      </c>
    </row>
    <row r="130">
      <c r="A130" s="399" t="inlineStr">
        <is>
          <t>2157</t>
        </is>
      </c>
      <c r="B130" s="400" t="inlineStr">
        <is>
          <t>Agencements et aménagements des matériels et outillages industriels</t>
        </is>
      </c>
    </row>
    <row r="131">
      <c r="A131" s="399" t="inlineStr">
        <is>
          <t>218</t>
        </is>
      </c>
      <c r="B131" s="400" t="inlineStr">
        <is>
          <t>Autres immobilisations corporelles</t>
        </is>
      </c>
    </row>
    <row r="132">
      <c r="A132" s="399" t="inlineStr">
        <is>
          <t>2181</t>
        </is>
      </c>
      <c r="B132" s="400" t="inlineStr">
        <is>
          <t>Installations générales, agencements, aménagements divers</t>
        </is>
      </c>
    </row>
    <row r="133">
      <c r="A133" s="399" t="inlineStr">
        <is>
          <t>2182</t>
        </is>
      </c>
      <c r="B133" s="400" t="inlineStr">
        <is>
          <t>Matériel de transport</t>
        </is>
      </c>
    </row>
    <row r="134">
      <c r="A134" s="399" t="inlineStr">
        <is>
          <t>2183</t>
        </is>
      </c>
      <c r="B134" s="400" t="inlineStr">
        <is>
          <t>Matériel de bureau et matériel informatique</t>
        </is>
      </c>
    </row>
    <row r="135">
      <c r="A135" s="399" t="inlineStr">
        <is>
          <t>2184</t>
        </is>
      </c>
      <c r="B135" s="400" t="inlineStr">
        <is>
          <t>Mobilier</t>
        </is>
      </c>
    </row>
    <row r="136">
      <c r="A136" s="399" t="inlineStr">
        <is>
          <t>2185</t>
        </is>
      </c>
      <c r="B136" s="400" t="inlineStr">
        <is>
          <t>Cheptel</t>
        </is>
      </c>
    </row>
    <row r="137">
      <c r="A137" s="399" t="inlineStr">
        <is>
          <t>2186</t>
        </is>
      </c>
      <c r="B137" s="400" t="inlineStr">
        <is>
          <t>Emballages récupérables</t>
        </is>
      </c>
    </row>
    <row r="138">
      <c r="A138" s="399" t="inlineStr">
        <is>
          <t>2187</t>
        </is>
      </c>
      <c r="B138" s="400" t="inlineStr">
        <is>
          <t>Mali de fusion sur actifs corporels</t>
        </is>
      </c>
    </row>
    <row r="139">
      <c r="A139" s="399" t="inlineStr">
        <is>
          <t>22</t>
        </is>
      </c>
      <c r="B139" s="400" t="inlineStr">
        <is>
          <t>Immobilisations mises en concession</t>
        </is>
      </c>
    </row>
    <row r="140">
      <c r="A140" s="399" t="inlineStr">
        <is>
          <t>229</t>
        </is>
      </c>
      <c r="B140" s="400" t="inlineStr">
        <is>
          <t>Droits du concédant (présentés dans la rubrique autres fonds propres)</t>
        </is>
      </c>
    </row>
    <row r="141">
      <c r="A141" s="399" t="inlineStr">
        <is>
          <t>23</t>
        </is>
      </c>
      <c r="B141" s="400" t="inlineStr">
        <is>
          <t>Immobilisations en cours, avances et acomptes</t>
        </is>
      </c>
    </row>
    <row r="142">
      <c r="A142" s="399" t="inlineStr">
        <is>
          <t>231</t>
        </is>
      </c>
      <c r="B142" s="400" t="inlineStr">
        <is>
          <t>Immobilisations corporelles en cours</t>
        </is>
      </c>
    </row>
    <row r="143">
      <c r="A143" s="399" t="inlineStr">
        <is>
          <t>232</t>
        </is>
      </c>
      <c r="B143" s="400" t="inlineStr">
        <is>
          <t>Immobilisations incorporelles en cours</t>
        </is>
      </c>
    </row>
    <row r="144">
      <c r="A144" s="399" t="inlineStr">
        <is>
          <t>237</t>
        </is>
      </c>
      <c r="B144" s="400" t="inlineStr">
        <is>
          <t>Avances et acomptes versés sur commandes d'immobilisations incorporelles</t>
        </is>
      </c>
    </row>
    <row r="145">
      <c r="A145" s="399" t="inlineStr">
        <is>
          <t>238</t>
        </is>
      </c>
      <c r="B145" s="400" t="inlineStr">
        <is>
          <t>Avances et acomptes versés sur commandes d'immobilisations corporelles</t>
        </is>
      </c>
    </row>
    <row r="146">
      <c r="A146" s="399" t="inlineStr">
        <is>
          <t>26</t>
        </is>
      </c>
      <c r="B146" s="400" t="inlineStr">
        <is>
          <t>Participations et créances rattachées à des participations</t>
        </is>
      </c>
    </row>
    <row r="147">
      <c r="A147" s="399" t="inlineStr">
        <is>
          <t>261</t>
        </is>
      </c>
      <c r="B147" s="400" t="inlineStr">
        <is>
          <t>Titres de participation</t>
        </is>
      </c>
    </row>
    <row r="148">
      <c r="A148" s="399" t="inlineStr">
        <is>
          <t>2611</t>
        </is>
      </c>
      <c r="B148" s="400" t="inlineStr">
        <is>
          <t>Actions</t>
        </is>
      </c>
    </row>
    <row r="149">
      <c r="A149" s="399" t="inlineStr">
        <is>
          <t>2618</t>
        </is>
      </c>
      <c r="B149" s="400" t="inlineStr">
        <is>
          <t>Autres titres</t>
        </is>
      </c>
    </row>
    <row r="150">
      <c r="A150" s="399" t="inlineStr">
        <is>
          <t>262</t>
        </is>
      </c>
      <c r="B150" s="400" t="inlineStr">
        <is>
          <t>Titres évalués par équivalence</t>
        </is>
      </c>
    </row>
    <row r="151">
      <c r="A151" s="399" t="inlineStr">
        <is>
          <t>266</t>
        </is>
      </c>
      <c r="B151" s="400" t="inlineStr">
        <is>
          <t>Autres formes de participation</t>
        </is>
      </c>
    </row>
    <row r="152">
      <c r="A152" s="399" t="inlineStr">
        <is>
          <t>2661</t>
        </is>
      </c>
      <c r="B152" s="400" t="inlineStr">
        <is>
          <t>Droits représentatifs d'actifs nets remis en fiducie</t>
        </is>
      </c>
    </row>
    <row r="153">
      <c r="A153" s="399" t="inlineStr">
        <is>
          <t>267</t>
        </is>
      </c>
      <c r="B153" s="400" t="inlineStr">
        <is>
          <t>Créances rattachées à des participations</t>
        </is>
      </c>
    </row>
    <row r="154">
      <c r="A154" s="399" t="inlineStr">
        <is>
          <t>2671</t>
        </is>
      </c>
      <c r="B154" s="400" t="inlineStr">
        <is>
          <t>Créances rattachées à des participations - groupe</t>
        </is>
      </c>
    </row>
    <row r="155">
      <c r="A155" s="399" t="inlineStr">
        <is>
          <t>2674</t>
        </is>
      </c>
      <c r="B155" s="400" t="inlineStr">
        <is>
          <t>Créances rattachées à des participations - hors groupe</t>
        </is>
      </c>
    </row>
    <row r="156">
      <c r="A156" s="399" t="inlineStr">
        <is>
          <t>2675</t>
        </is>
      </c>
      <c r="B156" s="400" t="inlineStr">
        <is>
          <t>Versements représentatifs d'apports non capitalisés - appel de fonds</t>
        </is>
      </c>
    </row>
    <row r="157">
      <c r="A157" s="399" t="inlineStr">
        <is>
          <t>2676</t>
        </is>
      </c>
      <c r="B157" s="400" t="inlineStr">
        <is>
          <t>Avances consolidables</t>
        </is>
      </c>
    </row>
    <row r="158">
      <c r="A158" s="399" t="inlineStr">
        <is>
          <t>2677</t>
        </is>
      </c>
      <c r="B158" s="400" t="inlineStr">
        <is>
          <t>Autres créances rattachées à des participations</t>
        </is>
      </c>
    </row>
    <row r="159">
      <c r="A159" s="399" t="inlineStr">
        <is>
          <t>2678</t>
        </is>
      </c>
      <c r="B159" s="400" t="inlineStr">
        <is>
          <t>Intérêts courus</t>
        </is>
      </c>
    </row>
    <row r="160">
      <c r="A160" s="399" t="inlineStr">
        <is>
          <t>268</t>
        </is>
      </c>
      <c r="B160" s="400" t="inlineStr">
        <is>
          <t>Créances rattachées à des sociétés en participation</t>
        </is>
      </c>
    </row>
    <row r="161">
      <c r="A161" s="399" t="inlineStr">
        <is>
          <t>2681</t>
        </is>
      </c>
      <c r="B161" s="400" t="inlineStr">
        <is>
          <t>Principal</t>
        </is>
      </c>
    </row>
    <row r="162">
      <c r="A162" s="399" t="inlineStr">
        <is>
          <t>2688</t>
        </is>
      </c>
      <c r="B162" s="400" t="inlineStr">
        <is>
          <t>Intérêts courus</t>
        </is>
      </c>
    </row>
    <row r="163">
      <c r="A163" s="399" t="inlineStr">
        <is>
          <t>269</t>
        </is>
      </c>
      <c r="B163" s="400" t="inlineStr">
        <is>
          <t>Versements restant à effectuer sur titres de participation non libérés</t>
        </is>
      </c>
    </row>
    <row r="164">
      <c r="A164" s="399" t="inlineStr">
        <is>
          <t>27</t>
        </is>
      </c>
      <c r="B164" s="400" t="inlineStr">
        <is>
          <t>Autres immobilisations financières</t>
        </is>
      </c>
    </row>
    <row r="165">
      <c r="A165" s="399" t="inlineStr">
        <is>
          <t>271</t>
        </is>
      </c>
      <c r="B165" s="400" t="inlineStr">
        <is>
          <t>Titres immobilisés autres que les titres immobilisés de l'activité de portefeuille (droit de propriété)</t>
        </is>
      </c>
    </row>
    <row r="166">
      <c r="A166" s="399" t="inlineStr">
        <is>
          <t>2711</t>
        </is>
      </c>
      <c r="B166" s="400" t="inlineStr">
        <is>
          <t>Actions</t>
        </is>
      </c>
    </row>
    <row r="167">
      <c r="A167" s="399" t="inlineStr">
        <is>
          <t>2718</t>
        </is>
      </c>
      <c r="B167" s="400" t="inlineStr">
        <is>
          <t>Autres titres</t>
        </is>
      </c>
    </row>
    <row r="168">
      <c r="A168" s="399" t="inlineStr">
        <is>
          <t>272</t>
        </is>
      </c>
      <c r="B168" s="400" t="inlineStr">
        <is>
          <t>Titres immobilisés (droit de créance)</t>
        </is>
      </c>
    </row>
    <row r="169">
      <c r="A169" s="399" t="inlineStr">
        <is>
          <t>2721</t>
        </is>
      </c>
      <c r="B169" s="400" t="inlineStr">
        <is>
          <t>Obligations</t>
        </is>
      </c>
    </row>
    <row r="170">
      <c r="A170" s="399" t="inlineStr">
        <is>
          <t>2722</t>
        </is>
      </c>
      <c r="B170" s="400" t="inlineStr">
        <is>
          <t>Bons</t>
        </is>
      </c>
    </row>
    <row r="171">
      <c r="A171" s="399" t="inlineStr">
        <is>
          <t>273</t>
        </is>
      </c>
      <c r="B171" s="400" t="inlineStr">
        <is>
          <t>Titres immobilisés de l'activité de portefeuille</t>
        </is>
      </c>
    </row>
    <row r="172">
      <c r="A172" s="399" t="inlineStr">
        <is>
          <t>274</t>
        </is>
      </c>
      <c r="B172" s="400" t="inlineStr">
        <is>
          <t>Prêts</t>
        </is>
      </c>
    </row>
    <row r="173">
      <c r="A173" s="399" t="inlineStr">
        <is>
          <t>2741</t>
        </is>
      </c>
      <c r="B173" s="400" t="inlineStr">
        <is>
          <t>Prêts participatifs</t>
        </is>
      </c>
    </row>
    <row r="174">
      <c r="A174" s="399" t="inlineStr">
        <is>
          <t>2742</t>
        </is>
      </c>
      <c r="B174" s="400" t="inlineStr">
        <is>
          <t>Prêts aux associés</t>
        </is>
      </c>
    </row>
    <row r="175">
      <c r="A175" s="399" t="inlineStr">
        <is>
          <t>2743</t>
        </is>
      </c>
      <c r="B175" s="400" t="inlineStr">
        <is>
          <t>Prêts au personnel</t>
        </is>
      </c>
    </row>
    <row r="176">
      <c r="A176" s="399" t="inlineStr">
        <is>
          <t>2748</t>
        </is>
      </c>
      <c r="B176" s="400" t="inlineStr">
        <is>
          <t>Autres prêts</t>
        </is>
      </c>
    </row>
    <row r="177">
      <c r="A177" s="399" t="inlineStr">
        <is>
          <t>275</t>
        </is>
      </c>
      <c r="B177" s="400" t="inlineStr">
        <is>
          <t>Dépôts et cautionnements versés</t>
        </is>
      </c>
    </row>
    <row r="178">
      <c r="A178" s="399" t="inlineStr">
        <is>
          <t>2751</t>
        </is>
      </c>
      <c r="B178" s="400" t="inlineStr">
        <is>
          <t>Dépôts</t>
        </is>
      </c>
    </row>
    <row r="179">
      <c r="A179" s="399" t="inlineStr">
        <is>
          <t>2755</t>
        </is>
      </c>
      <c r="B179" s="400" t="inlineStr">
        <is>
          <t>Cautionnements</t>
        </is>
      </c>
    </row>
    <row r="180">
      <c r="A180" s="399" t="inlineStr">
        <is>
          <t>276</t>
        </is>
      </c>
      <c r="B180" s="400" t="inlineStr">
        <is>
          <t>Autres créances immobilisées</t>
        </is>
      </c>
    </row>
    <row r="181">
      <c r="A181" s="399" t="inlineStr">
        <is>
          <t>2761</t>
        </is>
      </c>
      <c r="B181" s="400" t="inlineStr">
        <is>
          <t>Créances diverses</t>
        </is>
      </c>
    </row>
    <row r="182">
      <c r="A182" s="399" t="inlineStr">
        <is>
          <t>2768</t>
        </is>
      </c>
      <c r="B182" s="400" t="inlineStr">
        <is>
          <t>Intérêts courus</t>
        </is>
      </c>
    </row>
    <row r="183">
      <c r="A183" s="399" t="inlineStr">
        <is>
          <t>27682</t>
        </is>
      </c>
      <c r="B183" s="400" t="inlineStr">
        <is>
          <t>Intérêts courus sur titres immobilisés (droit de créance)</t>
        </is>
      </c>
    </row>
    <row r="184">
      <c r="A184" s="399" t="inlineStr">
        <is>
          <t>27684</t>
        </is>
      </c>
      <c r="B184" s="400" t="inlineStr">
        <is>
          <t>Intérêts courus sur prêts</t>
        </is>
      </c>
    </row>
    <row r="185">
      <c r="A185" s="399" t="inlineStr">
        <is>
          <t>27685</t>
        </is>
      </c>
      <c r="B185" s="400" t="inlineStr">
        <is>
          <t>Intérêts courus sur dépôts et cautionnements</t>
        </is>
      </c>
    </row>
    <row r="186">
      <c r="A186" s="399" t="inlineStr">
        <is>
          <t>27688</t>
        </is>
      </c>
      <c r="B186" s="400" t="inlineStr">
        <is>
          <t>Intérêts courus sur créances diverses</t>
        </is>
      </c>
    </row>
    <row r="187">
      <c r="A187" s="399" t="inlineStr">
        <is>
          <t>277</t>
        </is>
      </c>
      <c r="B187" s="400" t="inlineStr">
        <is>
          <t>Actions propres ou parts propres</t>
        </is>
      </c>
    </row>
    <row r="188">
      <c r="A188" s="399" t="inlineStr">
        <is>
          <t>2771</t>
        </is>
      </c>
      <c r="B188" s="400" t="inlineStr">
        <is>
          <t>Actions propres ou parts propres</t>
        </is>
      </c>
    </row>
    <row r="189">
      <c r="A189" s="399" t="inlineStr">
        <is>
          <t>2772</t>
        </is>
      </c>
      <c r="B189" s="400" t="inlineStr">
        <is>
          <t>Actions propres ou parts propres en voie d’annulation</t>
        </is>
      </c>
    </row>
    <row r="190">
      <c r="A190" s="399" t="inlineStr">
        <is>
          <t>278</t>
        </is>
      </c>
      <c r="B190" s="400" t="inlineStr">
        <is>
          <t>Mali de fusion sur actifs financiers</t>
        </is>
      </c>
    </row>
    <row r="191">
      <c r="A191" s="399" t="inlineStr">
        <is>
          <t>279</t>
        </is>
      </c>
      <c r="B191" s="400" t="inlineStr">
        <is>
          <t>Versements restant à effectuer sur titres immobilisés non libérés</t>
        </is>
      </c>
    </row>
    <row r="192">
      <c r="A192" s="399" t="inlineStr">
        <is>
          <t>28</t>
        </is>
      </c>
      <c r="B192" s="400" t="inlineStr">
        <is>
          <t>Amortissements des immobilisations</t>
        </is>
      </c>
    </row>
    <row r="193">
      <c r="A193" s="399" t="inlineStr">
        <is>
          <t>280</t>
        </is>
      </c>
      <c r="B193" s="400" t="inlineStr">
        <is>
          <t>Amortissements des immobilisations incorporelles et des frais d’établissement (même ventilation que celle du compte 20)</t>
        </is>
      </c>
    </row>
    <row r="194">
      <c r="A194" s="399" t="inlineStr">
        <is>
          <t>2801</t>
        </is>
      </c>
      <c r="B194" s="400" t="inlineStr">
        <is>
          <t>Frais d'établissement (même ventilation que celle du compte 201)</t>
        </is>
      </c>
    </row>
    <row r="195">
      <c r="A195" s="399" t="inlineStr">
        <is>
          <t>2803</t>
        </is>
      </c>
      <c r="B195" s="400" t="inlineStr">
        <is>
          <t>Frais de développement</t>
        </is>
      </c>
    </row>
    <row r="196">
      <c r="A196" s="399" t="inlineStr">
        <is>
          <t>2805</t>
        </is>
      </c>
      <c r="B196" s="400" t="inlineStr">
        <is>
          <t>Concessions et droits similaires, brevets, licences, solutions informatiques, droits et valeurs similaires</t>
        </is>
      </c>
    </row>
    <row r="197">
      <c r="A197" s="399" t="inlineStr">
        <is>
          <t>2806</t>
        </is>
      </c>
      <c r="B197" s="400" t="inlineStr">
        <is>
          <t>Droit au bail</t>
        </is>
      </c>
    </row>
    <row r="198">
      <c r="A198" s="399" t="inlineStr">
        <is>
          <t>2807</t>
        </is>
      </c>
      <c r="B198" s="400" t="inlineStr">
        <is>
          <t>Fonds commercial</t>
        </is>
      </c>
    </row>
    <row r="199">
      <c r="A199" s="399" t="inlineStr">
        <is>
          <t>2808</t>
        </is>
      </c>
      <c r="B199" s="400" t="inlineStr">
        <is>
          <t>Autres immobilisations incorporelles</t>
        </is>
      </c>
    </row>
    <row r="200">
      <c r="A200" s="399" t="inlineStr">
        <is>
          <t>281</t>
        </is>
      </c>
      <c r="B200" s="400" t="inlineStr">
        <is>
          <t>Amortissements des immobilisations corporelles (même ventilation que celle du compte 21)</t>
        </is>
      </c>
    </row>
    <row r="201">
      <c r="A201" s="399" t="inlineStr">
        <is>
          <t>2812</t>
        </is>
      </c>
      <c r="B201" s="400" t="inlineStr">
        <is>
          <t>Agencements, aménagements de terrains (même ventilation que celle du compte 212)</t>
        </is>
      </c>
    </row>
    <row r="202">
      <c r="A202" s="399" t="inlineStr">
        <is>
          <t>2813</t>
        </is>
      </c>
      <c r="B202" s="400" t="inlineStr">
        <is>
          <t>Constructions (même ventilation que celle du compte 213)</t>
        </is>
      </c>
    </row>
    <row r="203">
      <c r="A203" s="399" t="inlineStr">
        <is>
          <t>2814</t>
        </is>
      </c>
      <c r="B203" s="400" t="inlineStr">
        <is>
          <t>Constructions sur sol d'autrui (même ventilation que celle du compte 214)</t>
        </is>
      </c>
    </row>
    <row r="204">
      <c r="A204" s="399" t="inlineStr">
        <is>
          <t>2815</t>
        </is>
      </c>
      <c r="B204" s="400" t="inlineStr">
        <is>
          <t>Installations, matériel et outillage industriels (même ventilation que celle du compte 215)</t>
        </is>
      </c>
    </row>
    <row r="205">
      <c r="A205" s="399" t="inlineStr">
        <is>
          <t>2818</t>
        </is>
      </c>
      <c r="B205" s="400" t="inlineStr">
        <is>
          <t>Autres immobilisations corporelles (même ventilation que celle du compte 218)</t>
        </is>
      </c>
    </row>
    <row r="206">
      <c r="A206" s="399" t="inlineStr">
        <is>
          <t>28187</t>
        </is>
      </c>
      <c r="B206" s="400" t="inlineStr">
        <is>
          <t>Amortissement du mali de fusion sur actifs corporels</t>
        </is>
      </c>
    </row>
    <row r="207">
      <c r="A207" s="399" t="inlineStr">
        <is>
          <t>282</t>
        </is>
      </c>
      <c r="B207" s="400" t="inlineStr">
        <is>
          <t>Amortissements des immobilisations mises en concession</t>
        </is>
      </c>
    </row>
    <row r="208">
      <c r="A208" s="399" t="inlineStr">
        <is>
          <t>29</t>
        </is>
      </c>
      <c r="B208" s="400" t="inlineStr">
        <is>
          <t>Dépréciations des immobilisations</t>
        </is>
      </c>
    </row>
    <row r="209">
      <c r="A209" s="399" t="inlineStr">
        <is>
          <t>290</t>
        </is>
      </c>
      <c r="B209" s="400" t="inlineStr">
        <is>
          <t>Dépréciations des immobilisations incorporelles</t>
        </is>
      </c>
    </row>
    <row r="210">
      <c r="A210" s="399" t="inlineStr">
        <is>
          <t>2901</t>
        </is>
      </c>
      <c r="B210" s="400" t="inlineStr">
        <is>
          <t>Frais d’établissement</t>
        </is>
      </c>
    </row>
    <row r="211">
      <c r="A211" s="399" t="inlineStr">
        <is>
          <t>2903</t>
        </is>
      </c>
      <c r="B211" s="400" t="inlineStr">
        <is>
          <t>Frais de développement</t>
        </is>
      </c>
    </row>
    <row r="212">
      <c r="A212" s="399" t="inlineStr">
        <is>
          <t>2905</t>
        </is>
      </c>
      <c r="B212" s="400" t="inlineStr">
        <is>
          <t>Marques, procédés, droits et valeurs similaires</t>
        </is>
      </c>
    </row>
    <row r="213">
      <c r="A213" s="399" t="inlineStr">
        <is>
          <t>2906</t>
        </is>
      </c>
      <c r="B213" s="400" t="inlineStr">
        <is>
          <t>Droit au bail</t>
        </is>
      </c>
    </row>
    <row r="214">
      <c r="A214" s="399" t="inlineStr">
        <is>
          <t>2907</t>
        </is>
      </c>
      <c r="B214" s="400" t="inlineStr">
        <is>
          <t>Fonds commercial</t>
        </is>
      </c>
    </row>
    <row r="215">
      <c r="A215" s="399" t="inlineStr">
        <is>
          <t>2908</t>
        </is>
      </c>
      <c r="B215" s="400" t="inlineStr">
        <is>
          <t>Autres immobilisations incorporelles</t>
        </is>
      </c>
    </row>
    <row r="216">
      <c r="A216" s="399" t="inlineStr">
        <is>
          <t>29081</t>
        </is>
      </c>
      <c r="B216" s="400" t="inlineStr">
        <is>
          <t>Dépréciation du mali de fusion sur actifs incorporels</t>
        </is>
      </c>
    </row>
    <row r="217">
      <c r="A217" s="399" t="inlineStr">
        <is>
          <t>291</t>
        </is>
      </c>
      <c r="B217" s="400" t="inlineStr">
        <is>
          <t>Dépréciations des immobilisations corporelles</t>
        </is>
      </c>
    </row>
    <row r="218">
      <c r="A218" s="399" t="inlineStr">
        <is>
          <t>2911</t>
        </is>
      </c>
      <c r="B218" s="400" t="inlineStr">
        <is>
          <t>Terrains</t>
        </is>
      </c>
    </row>
    <row r="219">
      <c r="A219" s="399" t="inlineStr">
        <is>
          <t>2912</t>
        </is>
      </c>
      <c r="B219" s="400" t="inlineStr">
        <is>
          <t>Agencements et aménagements de terrains</t>
        </is>
      </c>
    </row>
    <row r="220">
      <c r="A220" s="399" t="inlineStr">
        <is>
          <t>2913</t>
        </is>
      </c>
      <c r="B220" s="400" t="inlineStr">
        <is>
          <t>Constructions</t>
        </is>
      </c>
    </row>
    <row r="221">
      <c r="A221" s="399" t="inlineStr">
        <is>
          <t>2914</t>
        </is>
      </c>
      <c r="B221" s="400" t="inlineStr">
        <is>
          <t>Constructions sur sol d'autrui</t>
        </is>
      </c>
    </row>
    <row r="222">
      <c r="A222" s="399" t="inlineStr">
        <is>
          <t>2915</t>
        </is>
      </c>
      <c r="B222" s="400" t="inlineStr">
        <is>
          <t>Installations techniques, matériels et outillages industriels</t>
        </is>
      </c>
    </row>
    <row r="223">
      <c r="A223" s="399" t="inlineStr">
        <is>
          <t>2918</t>
        </is>
      </c>
      <c r="B223" s="400" t="inlineStr">
        <is>
          <t>Autres immobilisations corporelles</t>
        </is>
      </c>
    </row>
    <row r="224">
      <c r="A224" s="399" t="inlineStr">
        <is>
          <t>29187</t>
        </is>
      </c>
      <c r="B224" s="400" t="inlineStr">
        <is>
          <t>Dépréciation du mali de fusion sur actifs corporels</t>
        </is>
      </c>
    </row>
    <row r="225">
      <c r="A225" s="399" t="inlineStr">
        <is>
          <t>292</t>
        </is>
      </c>
      <c r="B225" s="400" t="inlineStr">
        <is>
          <t>Dépréciations des immobilisations mises en concession</t>
        </is>
      </c>
    </row>
    <row r="226">
      <c r="A226" s="399" t="inlineStr">
        <is>
          <t>293</t>
        </is>
      </c>
      <c r="B226" s="400" t="inlineStr">
        <is>
          <t>Dépréciations des immobilisations en cours</t>
        </is>
      </c>
    </row>
    <row r="227">
      <c r="A227" s="399" t="inlineStr">
        <is>
          <t>2931</t>
        </is>
      </c>
      <c r="B227" s="400" t="inlineStr">
        <is>
          <t>Immobilisations corporelles en cours</t>
        </is>
      </c>
    </row>
    <row r="228">
      <c r="A228" s="399" t="inlineStr">
        <is>
          <t>2932</t>
        </is>
      </c>
      <c r="B228" s="400" t="inlineStr">
        <is>
          <t>Immobilisations incorporelles en cours</t>
        </is>
      </c>
    </row>
    <row r="229">
      <c r="A229" s="399" t="inlineStr">
        <is>
          <t>296</t>
        </is>
      </c>
      <c r="B229" s="400" t="inlineStr">
        <is>
          <t>Dépréciations des participations et créances rattachées à des participations</t>
        </is>
      </c>
    </row>
    <row r="230">
      <c r="A230" s="399" t="inlineStr">
        <is>
          <t>2961</t>
        </is>
      </c>
      <c r="B230" s="400" t="inlineStr">
        <is>
          <t>Titres de participation</t>
        </is>
      </c>
    </row>
    <row r="231">
      <c r="A231" s="399" t="inlineStr">
        <is>
          <t>2962</t>
        </is>
      </c>
      <c r="B231" s="400" t="inlineStr">
        <is>
          <t>Titres évalués par équivalence</t>
        </is>
      </c>
    </row>
    <row r="232">
      <c r="A232" s="399" t="inlineStr">
        <is>
          <t>2966</t>
        </is>
      </c>
      <c r="B232" s="400" t="inlineStr">
        <is>
          <t>Autres formes de participation</t>
        </is>
      </c>
    </row>
    <row r="233">
      <c r="A233" s="399" t="inlineStr">
        <is>
          <t>2967</t>
        </is>
      </c>
      <c r="B233" s="400" t="inlineStr">
        <is>
          <t>Créances rattachées à des participations (même ventilation que celle du compte 267)</t>
        </is>
      </c>
    </row>
    <row r="234">
      <c r="A234" s="399" t="inlineStr">
        <is>
          <t>2968</t>
        </is>
      </c>
      <c r="B234" s="400" t="inlineStr">
        <is>
          <t>Créances rattachées à des sociétés en participation (même ventilation que celle du compte 268)</t>
        </is>
      </c>
    </row>
    <row r="235">
      <c r="A235" s="399" t="inlineStr">
        <is>
          <t>297</t>
        </is>
      </c>
      <c r="B235" s="400" t="inlineStr">
        <is>
          <t>Dépréciations des autres immobilisations financières</t>
        </is>
      </c>
    </row>
    <row r="236">
      <c r="A236" s="399" t="inlineStr">
        <is>
          <t>2971</t>
        </is>
      </c>
      <c r="B236" s="400" t="inlineStr">
        <is>
          <t>Titres immobilisés autres que les titres immobilisés de l'activité de portefeuille (droit de propriété)</t>
        </is>
      </c>
    </row>
    <row r="237">
      <c r="A237" s="399" t="inlineStr">
        <is>
          <t>2972</t>
        </is>
      </c>
      <c r="B237" s="400" t="inlineStr">
        <is>
          <t>Titres immobilisés (droit de créance)</t>
        </is>
      </c>
    </row>
    <row r="238">
      <c r="A238" s="399" t="inlineStr">
        <is>
          <t>2973</t>
        </is>
      </c>
      <c r="B238" s="400" t="inlineStr">
        <is>
          <t>Titres immobilisés de l'activité de portefeuille</t>
        </is>
      </c>
    </row>
    <row r="239">
      <c r="A239" s="399" t="inlineStr">
        <is>
          <t>2974</t>
        </is>
      </c>
      <c r="B239" s="400" t="inlineStr">
        <is>
          <t>Prêts</t>
        </is>
      </c>
    </row>
    <row r="240">
      <c r="A240" s="399" t="inlineStr">
        <is>
          <t>2975</t>
        </is>
      </c>
      <c r="B240" s="400" t="inlineStr">
        <is>
          <t>Dépôts et cautionnements versés</t>
        </is>
      </c>
    </row>
    <row r="241">
      <c r="A241" s="399" t="inlineStr">
        <is>
          <t>2976</t>
        </is>
      </c>
      <c r="B241" s="400" t="inlineStr">
        <is>
          <t>Autres créances immobilisées</t>
        </is>
      </c>
    </row>
    <row r="242">
      <c r="A242" s="399" t="inlineStr">
        <is>
          <t>31</t>
        </is>
      </c>
      <c r="B242" s="400" t="inlineStr">
        <is>
          <t>Matières premières et fournitures</t>
        </is>
      </c>
    </row>
    <row r="243">
      <c r="A243" s="399" t="inlineStr">
        <is>
          <t>32</t>
        </is>
      </c>
      <c r="B243" s="400" t="inlineStr">
        <is>
          <t>Autres approvisionnements</t>
        </is>
      </c>
    </row>
    <row r="244">
      <c r="A244" s="399" t="inlineStr">
        <is>
          <t>321</t>
        </is>
      </c>
      <c r="B244" s="400" t="inlineStr">
        <is>
          <t>Matières consommables</t>
        </is>
      </c>
    </row>
    <row r="245">
      <c r="A245" s="399" t="inlineStr">
        <is>
          <t>322</t>
        </is>
      </c>
      <c r="B245" s="400" t="inlineStr">
        <is>
          <t>Fournitures consommables</t>
        </is>
      </c>
    </row>
    <row r="246">
      <c r="A246" s="399" t="inlineStr">
        <is>
          <t>3221</t>
        </is>
      </c>
      <c r="B246" s="400" t="inlineStr">
        <is>
          <t>Combustibles</t>
        </is>
      </c>
    </row>
    <row r="247">
      <c r="A247" s="399" t="inlineStr">
        <is>
          <t>3222</t>
        </is>
      </c>
      <c r="B247" s="400" t="inlineStr">
        <is>
          <t>Produits d'entretien</t>
        </is>
      </c>
    </row>
    <row r="248">
      <c r="A248" s="399" t="inlineStr">
        <is>
          <t>3223</t>
        </is>
      </c>
      <c r="B248" s="400" t="inlineStr">
        <is>
          <t>Fournitures d'atelier et d'usine</t>
        </is>
      </c>
    </row>
    <row r="249">
      <c r="A249" s="399" t="inlineStr">
        <is>
          <t>3224</t>
        </is>
      </c>
      <c r="B249" s="400" t="inlineStr">
        <is>
          <t>Fournitures de magasin</t>
        </is>
      </c>
    </row>
    <row r="250">
      <c r="A250" s="399" t="inlineStr">
        <is>
          <t>3225</t>
        </is>
      </c>
      <c r="B250" s="400" t="inlineStr">
        <is>
          <t>Fournitures de bureau</t>
        </is>
      </c>
    </row>
    <row r="251">
      <c r="A251" s="399" t="inlineStr">
        <is>
          <t>326</t>
        </is>
      </c>
      <c r="B251" s="400" t="inlineStr">
        <is>
          <t>Emballages</t>
        </is>
      </c>
    </row>
    <row r="252">
      <c r="A252" s="399" t="inlineStr">
        <is>
          <t>3261</t>
        </is>
      </c>
      <c r="B252" s="400" t="inlineStr">
        <is>
          <t>Emballages perdus</t>
        </is>
      </c>
    </row>
    <row r="253">
      <c r="A253" s="399" t="inlineStr">
        <is>
          <t>3265</t>
        </is>
      </c>
      <c r="B253" s="400" t="inlineStr">
        <is>
          <t>Emballages récupérables non identifiables</t>
        </is>
      </c>
    </row>
    <row r="254">
      <c r="A254" s="399" t="inlineStr">
        <is>
          <t>3267</t>
        </is>
      </c>
      <c r="B254" s="400" t="inlineStr">
        <is>
          <t>Emballages à usage mixte</t>
        </is>
      </c>
    </row>
    <row r="255">
      <c r="A255" s="399" t="inlineStr">
        <is>
          <t>33</t>
        </is>
      </c>
      <c r="B255" s="400" t="inlineStr">
        <is>
          <t>En-cours de production de biens</t>
        </is>
      </c>
    </row>
    <row r="256">
      <c r="A256" s="399" t="inlineStr">
        <is>
          <t>331</t>
        </is>
      </c>
      <c r="B256" s="400" t="inlineStr">
        <is>
          <t>Produits en cours</t>
        </is>
      </c>
    </row>
    <row r="257">
      <c r="A257" s="399" t="inlineStr">
        <is>
          <t>335</t>
        </is>
      </c>
      <c r="B257" s="400" t="inlineStr">
        <is>
          <t>Travaux en cours</t>
        </is>
      </c>
    </row>
    <row r="258">
      <c r="A258" s="399" t="inlineStr">
        <is>
          <t>34</t>
        </is>
      </c>
      <c r="B258" s="400" t="inlineStr">
        <is>
          <t>En-cours de production de services</t>
        </is>
      </c>
    </row>
    <row r="259">
      <c r="A259" s="399" t="inlineStr">
        <is>
          <t>341</t>
        </is>
      </c>
      <c r="B259" s="400" t="inlineStr">
        <is>
          <t>Études en cours</t>
        </is>
      </c>
    </row>
    <row r="260">
      <c r="A260" s="399" t="inlineStr">
        <is>
          <t>345</t>
        </is>
      </c>
      <c r="B260" s="400" t="inlineStr">
        <is>
          <t>Prestations de services en cours</t>
        </is>
      </c>
    </row>
    <row r="261">
      <c r="A261" s="399" t="inlineStr">
        <is>
          <t>35</t>
        </is>
      </c>
      <c r="B261" s="400" t="inlineStr">
        <is>
          <t>Stocks de produits</t>
        </is>
      </c>
    </row>
    <row r="262">
      <c r="A262" s="399" t="inlineStr">
        <is>
          <t>351</t>
        </is>
      </c>
      <c r="B262" s="400" t="inlineStr">
        <is>
          <t>Produits intermédiaires</t>
        </is>
      </c>
    </row>
    <row r="263">
      <c r="A263" s="399" t="inlineStr">
        <is>
          <t>355</t>
        </is>
      </c>
      <c r="B263" s="400" t="inlineStr">
        <is>
          <t>Produits finis</t>
        </is>
      </c>
    </row>
    <row r="264">
      <c r="A264" s="399" t="inlineStr">
        <is>
          <t>358</t>
        </is>
      </c>
      <c r="B264" s="400" t="inlineStr">
        <is>
          <t>Produits résiduels ou matières de récupération</t>
        </is>
      </c>
    </row>
    <row r="265">
      <c r="A265" s="399" t="inlineStr">
        <is>
          <t>3581</t>
        </is>
      </c>
      <c r="B265" s="400" t="inlineStr">
        <is>
          <t>Déchets</t>
        </is>
      </c>
    </row>
    <row r="266">
      <c r="A266" s="399" t="inlineStr">
        <is>
          <t>3585</t>
        </is>
      </c>
      <c r="B266" s="400" t="inlineStr">
        <is>
          <t>Rebuts</t>
        </is>
      </c>
    </row>
    <row r="267">
      <c r="A267" s="399" t="inlineStr">
        <is>
          <t>3586</t>
        </is>
      </c>
      <c r="B267" s="400" t="inlineStr">
        <is>
          <t>Matières de récupération</t>
        </is>
      </c>
    </row>
    <row r="268">
      <c r="A268" s="399" t="inlineStr">
        <is>
          <t>36</t>
        </is>
      </c>
      <c r="B268" s="400" t="inlineStr">
        <is>
          <t>(Compte à ouvrir, le cas échéant, sous l'intitulé « Stocks provenant d'immobilisations »)</t>
        </is>
      </c>
    </row>
    <row r="269">
      <c r="A269" s="399" t="inlineStr">
        <is>
          <t>37</t>
        </is>
      </c>
      <c r="B269" s="400" t="inlineStr">
        <is>
          <t>Stocks de marchandises</t>
        </is>
      </c>
    </row>
    <row r="270">
      <c r="A270" s="399" t="inlineStr">
        <is>
          <t>38</t>
        </is>
      </c>
      <c r="B270" s="400" t="inlineStr">
        <is>
          <t>(Le compte 38 peut être utilisé pour comptabiliser les stocks en voie d'acheminement, mis en dépôt ou donnés en consignation)</t>
        </is>
      </c>
    </row>
    <row r="271">
      <c r="A271" s="399" t="inlineStr">
        <is>
          <t>39</t>
        </is>
      </c>
      <c r="B271" s="400" t="inlineStr">
        <is>
          <t>Dépréciations des stocks et en-cours</t>
        </is>
      </c>
    </row>
    <row r="272">
      <c r="A272" s="399" t="inlineStr">
        <is>
          <t>391</t>
        </is>
      </c>
      <c r="B272" s="400" t="inlineStr">
        <is>
          <t>Dépréciations des matières premières et fournitures</t>
        </is>
      </c>
    </row>
    <row r="273">
      <c r="A273" s="399" t="inlineStr">
        <is>
          <t>392</t>
        </is>
      </c>
      <c r="B273" s="400" t="inlineStr">
        <is>
          <t>Dépréciations des autres approvisionnements</t>
        </is>
      </c>
    </row>
    <row r="274">
      <c r="A274" s="399" t="inlineStr">
        <is>
          <t>393</t>
        </is>
      </c>
      <c r="B274" s="400" t="inlineStr">
        <is>
          <t>Dépréciations des en-cours de production de biens</t>
        </is>
      </c>
    </row>
    <row r="275">
      <c r="A275" s="399" t="inlineStr">
        <is>
          <t>394</t>
        </is>
      </c>
      <c r="B275" s="400" t="inlineStr">
        <is>
          <t>Dépréciations des en-cours de production de services</t>
        </is>
      </c>
    </row>
    <row r="276">
      <c r="A276" s="399" t="inlineStr">
        <is>
          <t>395</t>
        </is>
      </c>
      <c r="B276" s="400" t="inlineStr">
        <is>
          <t>Dépréciations des stocks de produits</t>
        </is>
      </c>
    </row>
    <row r="277">
      <c r="A277" s="399" t="inlineStr">
        <is>
          <t>397</t>
        </is>
      </c>
      <c r="B277" s="400" t="inlineStr">
        <is>
          <t>Dépréciations des stocks de marchandises</t>
        </is>
      </c>
    </row>
    <row r="278">
      <c r="A278" s="399" t="inlineStr">
        <is>
          <t>40</t>
        </is>
      </c>
      <c r="B278" s="400" t="inlineStr">
        <is>
          <t>Fournisseurs et comptes rattachés</t>
        </is>
      </c>
    </row>
    <row r="279">
      <c r="A279" s="399" t="inlineStr">
        <is>
          <t>401</t>
        </is>
      </c>
      <c r="B279" s="400" t="inlineStr">
        <is>
          <t>Fournisseurs</t>
        </is>
      </c>
    </row>
    <row r="280">
      <c r="A280" s="399" t="inlineStr">
        <is>
          <t>4011</t>
        </is>
      </c>
      <c r="B280" s="400" t="inlineStr">
        <is>
          <t>Fournisseurs - Achats de biens et prestations de services</t>
        </is>
      </c>
    </row>
    <row r="281">
      <c r="A281" s="399" t="inlineStr">
        <is>
          <t>4017</t>
        </is>
      </c>
      <c r="B281" s="400" t="inlineStr">
        <is>
          <t>Fournisseurs - Retenues de garantie</t>
        </is>
      </c>
    </row>
    <row r="282">
      <c r="A282" s="399" t="inlineStr">
        <is>
          <t>403</t>
        </is>
      </c>
      <c r="B282" s="400" t="inlineStr">
        <is>
          <t>Fournisseurs - Effets à payer</t>
        </is>
      </c>
    </row>
    <row r="283">
      <c r="A283" s="399" t="inlineStr">
        <is>
          <t>404</t>
        </is>
      </c>
      <c r="B283" s="400" t="inlineStr">
        <is>
          <t>Fournisseurs d'immobilisations</t>
        </is>
      </c>
    </row>
    <row r="284">
      <c r="A284" s="399" t="inlineStr">
        <is>
          <t>4041</t>
        </is>
      </c>
      <c r="B284" s="400" t="inlineStr">
        <is>
          <t>Fournisseurs - Achats d'immobilisations</t>
        </is>
      </c>
    </row>
    <row r="285">
      <c r="A285" s="399" t="inlineStr">
        <is>
          <t>4047</t>
        </is>
      </c>
      <c r="B285" s="400" t="inlineStr">
        <is>
          <t>Fournisseurs d'immobilisations - Retenues de garantie</t>
        </is>
      </c>
    </row>
    <row r="286">
      <c r="A286" s="399" t="inlineStr">
        <is>
          <t>405</t>
        </is>
      </c>
      <c r="B286" s="400" t="inlineStr">
        <is>
          <t>Fournisseurs d'immobilisations - Effets à payer</t>
        </is>
      </c>
    </row>
    <row r="287">
      <c r="A287" s="399" t="inlineStr">
        <is>
          <t>408</t>
        </is>
      </c>
      <c r="B287" s="400" t="inlineStr">
        <is>
          <t>Fournisseurs - Factures non parvenues</t>
        </is>
      </c>
    </row>
    <row r="288">
      <c r="A288" s="399" t="inlineStr">
        <is>
          <t>4081</t>
        </is>
      </c>
      <c r="B288" s="400" t="inlineStr">
        <is>
          <t>Fournisseurs</t>
        </is>
      </c>
    </row>
    <row r="289">
      <c r="A289" s="399" t="inlineStr">
        <is>
          <t>4084</t>
        </is>
      </c>
      <c r="B289" s="400" t="inlineStr">
        <is>
          <t>Fournisseurs d'immobilisations</t>
        </is>
      </c>
    </row>
    <row r="290">
      <c r="A290" s="399" t="inlineStr">
        <is>
          <t>4088</t>
        </is>
      </c>
      <c r="B290" s="400" t="inlineStr">
        <is>
          <t>Fournisseurs - Intérêts courus</t>
        </is>
      </c>
    </row>
    <row r="291">
      <c r="A291" s="399" t="inlineStr">
        <is>
          <t>409</t>
        </is>
      </c>
      <c r="B291" s="400" t="inlineStr">
        <is>
          <t>Fournisseurs débiteurs</t>
        </is>
      </c>
    </row>
    <row r="292">
      <c r="A292" s="399" t="inlineStr">
        <is>
          <t>4091</t>
        </is>
      </c>
      <c r="B292" s="400" t="inlineStr">
        <is>
          <t>Fournisseurs - Avances et acomptes versés sur commandes</t>
        </is>
      </c>
    </row>
    <row r="293">
      <c r="A293" s="399" t="inlineStr">
        <is>
          <t>4096</t>
        </is>
      </c>
      <c r="B293" s="400" t="inlineStr">
        <is>
          <t>Fournisseurs - Créances pour emballages et matériel à rendre</t>
        </is>
      </c>
    </row>
    <row r="294">
      <c r="A294" s="399" t="inlineStr">
        <is>
          <t>4097</t>
        </is>
      </c>
      <c r="B294" s="400" t="inlineStr">
        <is>
          <t>Fournisseurs - Autres avoirs</t>
        </is>
      </c>
    </row>
    <row r="295">
      <c r="A295" s="399" t="inlineStr">
        <is>
          <t>40971</t>
        </is>
      </c>
      <c r="B295" s="400" t="inlineStr">
        <is>
          <t>Fournisseurs d'exploitation</t>
        </is>
      </c>
    </row>
    <row r="296">
      <c r="A296" s="399" t="inlineStr">
        <is>
          <t>40974</t>
        </is>
      </c>
      <c r="B296" s="400" t="inlineStr">
        <is>
          <t>Fournisseurs d'immobilisations</t>
        </is>
      </c>
    </row>
    <row r="297">
      <c r="A297" s="399" t="inlineStr">
        <is>
          <t>4098</t>
        </is>
      </c>
      <c r="B297" s="400" t="inlineStr">
        <is>
          <t>Rabais, remises, ristournes à obtenir et autres avoirs non encore reçus</t>
        </is>
      </c>
    </row>
    <row r="298">
      <c r="A298" s="399" t="inlineStr">
        <is>
          <t>41</t>
        </is>
      </c>
      <c r="B298" s="400" t="inlineStr">
        <is>
          <t>Clients et comptes rattachés</t>
        </is>
      </c>
    </row>
    <row r="299">
      <c r="A299" s="399" t="inlineStr">
        <is>
          <t>411</t>
        </is>
      </c>
      <c r="B299" s="400" t="inlineStr">
        <is>
          <t>Clients</t>
        </is>
      </c>
    </row>
    <row r="300">
      <c r="A300" s="399" t="inlineStr">
        <is>
          <t>4111</t>
        </is>
      </c>
      <c r="B300" s="400" t="inlineStr">
        <is>
          <t>Clients - Ventes de biens ou de prestations de services</t>
        </is>
      </c>
    </row>
    <row r="301">
      <c r="A301" s="399" t="inlineStr">
        <is>
          <t>4117</t>
        </is>
      </c>
      <c r="B301" s="400" t="inlineStr">
        <is>
          <t>Clients - Retenues de garantie</t>
        </is>
      </c>
    </row>
    <row r="302">
      <c r="A302" s="399" t="inlineStr">
        <is>
          <t>413</t>
        </is>
      </c>
      <c r="B302" s="400" t="inlineStr">
        <is>
          <t>Clients - Effets à recevoir</t>
        </is>
      </c>
    </row>
    <row r="303">
      <c r="A303" s="399" t="inlineStr">
        <is>
          <t>416</t>
        </is>
      </c>
      <c r="B303" s="400" t="inlineStr">
        <is>
          <t>Clients douteux ou litigieux</t>
        </is>
      </c>
    </row>
    <row r="304">
      <c r="A304" s="399" t="inlineStr">
        <is>
          <t>418</t>
        </is>
      </c>
      <c r="B304" s="400" t="inlineStr">
        <is>
          <t>Clients - Produits non encore facturés</t>
        </is>
      </c>
    </row>
    <row r="305">
      <c r="A305" s="399" t="inlineStr">
        <is>
          <t>4181</t>
        </is>
      </c>
      <c r="B305" s="400" t="inlineStr">
        <is>
          <t>Clients - Factures à établir</t>
        </is>
      </c>
    </row>
    <row r="306">
      <c r="A306" s="399" t="inlineStr">
        <is>
          <t>4188</t>
        </is>
      </c>
      <c r="B306" s="400" t="inlineStr">
        <is>
          <t>Clients - Intérêts courus</t>
        </is>
      </c>
    </row>
    <row r="307">
      <c r="A307" s="399" t="inlineStr">
        <is>
          <t>419</t>
        </is>
      </c>
      <c r="B307" s="400" t="inlineStr">
        <is>
          <t>Clients créditeurs</t>
        </is>
      </c>
    </row>
    <row r="308">
      <c r="A308" s="399" t="inlineStr">
        <is>
          <t>4191</t>
        </is>
      </c>
      <c r="B308" s="400" t="inlineStr">
        <is>
          <t>Clients - Avances et acomptes reçus sur commandes</t>
        </is>
      </c>
    </row>
    <row r="309">
      <c r="A309" s="399" t="inlineStr">
        <is>
          <t>4196</t>
        </is>
      </c>
      <c r="B309" s="400" t="inlineStr">
        <is>
          <t>Clients - Dettes sur emballages et matériels consignés</t>
        </is>
      </c>
    </row>
    <row r="310">
      <c r="A310" s="399" t="inlineStr">
        <is>
          <t>4197</t>
        </is>
      </c>
      <c r="B310" s="400" t="inlineStr">
        <is>
          <t>Clients - Autres avoirs</t>
        </is>
      </c>
    </row>
    <row r="311">
      <c r="A311" s="399" t="inlineStr">
        <is>
          <t>4198</t>
        </is>
      </c>
      <c r="B311" s="400" t="inlineStr">
        <is>
          <t>Rabais, remises, ristournes à accorder et autres avoirs à établir</t>
        </is>
      </c>
    </row>
    <row r="312">
      <c r="A312" s="399" t="inlineStr">
        <is>
          <t>42</t>
        </is>
      </c>
      <c r="B312" s="400" t="inlineStr">
        <is>
          <t>Personnel et comptes rattachés</t>
        </is>
      </c>
    </row>
    <row r="313">
      <c r="A313" s="399" t="inlineStr">
        <is>
          <t>421</t>
        </is>
      </c>
      <c r="B313" s="400" t="inlineStr">
        <is>
          <t>Personnel - Rémunérations dues</t>
        </is>
      </c>
    </row>
    <row r="314">
      <c r="A314" s="399" t="inlineStr">
        <is>
          <t>422</t>
        </is>
      </c>
      <c r="B314" s="400" t="inlineStr">
        <is>
          <t>Comité social et économique</t>
        </is>
      </c>
    </row>
    <row r="315">
      <c r="A315" s="399" t="inlineStr">
        <is>
          <t>424</t>
        </is>
      </c>
      <c r="B315" s="400" t="inlineStr">
        <is>
          <t>Participation des salariés aux résultats</t>
        </is>
      </c>
    </row>
    <row r="316">
      <c r="A316" s="399" t="inlineStr">
        <is>
          <t>4246</t>
        </is>
      </c>
      <c r="B316" s="400" t="inlineStr">
        <is>
          <t>Réserve spéciale</t>
        </is>
      </c>
    </row>
    <row r="317">
      <c r="A317" s="399" t="inlineStr">
        <is>
          <t>4248</t>
        </is>
      </c>
      <c r="B317" s="400" t="inlineStr">
        <is>
          <t>Comptes courants</t>
        </is>
      </c>
    </row>
    <row r="318">
      <c r="A318" s="399" t="inlineStr">
        <is>
          <t>425</t>
        </is>
      </c>
      <c r="B318" s="400" t="inlineStr">
        <is>
          <t>Personnel - Avances et acomptes et autres comptes débiteurs</t>
        </is>
      </c>
    </row>
    <row r="319">
      <c r="A319" s="399" t="inlineStr">
        <is>
          <t>426</t>
        </is>
      </c>
      <c r="B319" s="400" t="inlineStr">
        <is>
          <t>Personnel - Dépôts</t>
        </is>
      </c>
    </row>
    <row r="320">
      <c r="A320" s="399" t="inlineStr">
        <is>
          <t>427</t>
        </is>
      </c>
      <c r="B320" s="400" t="inlineStr">
        <is>
          <t>Personnel - Oppositions</t>
        </is>
      </c>
    </row>
    <row r="321">
      <c r="A321" s="399" t="inlineStr">
        <is>
          <t>428</t>
        </is>
      </c>
      <c r="B321" s="400" t="inlineStr">
        <is>
          <t>Personnel - Charges à payer</t>
        </is>
      </c>
    </row>
    <row r="322">
      <c r="A322" s="399" t="inlineStr">
        <is>
          <t>4282</t>
        </is>
      </c>
      <c r="B322" s="400" t="inlineStr">
        <is>
          <t>Dettes provisionnées pour congés à payer</t>
        </is>
      </c>
    </row>
    <row r="323">
      <c r="A323" s="399" t="inlineStr">
        <is>
          <t>4284</t>
        </is>
      </c>
      <c r="B323" s="400" t="inlineStr">
        <is>
          <t>Dettes provisionnées pour participation des salariés aux résultats</t>
        </is>
      </c>
    </row>
    <row r="324">
      <c r="A324" s="399" t="inlineStr">
        <is>
          <t>4286</t>
        </is>
      </c>
      <c r="B324" s="400" t="inlineStr">
        <is>
          <t>Autres charges à payer</t>
        </is>
      </c>
    </row>
    <row r="325">
      <c r="A325" s="399" t="inlineStr">
        <is>
          <t>43</t>
        </is>
      </c>
      <c r="B325" s="400" t="inlineStr">
        <is>
          <t>Sécurité sociale et autres organismes sociaux</t>
        </is>
      </c>
    </row>
    <row r="326">
      <c r="A326" s="399" t="inlineStr">
        <is>
          <t>431</t>
        </is>
      </c>
      <c r="B326" s="400" t="inlineStr">
        <is>
          <t>Sécurité sociale</t>
        </is>
      </c>
    </row>
    <row r="327">
      <c r="A327" s="399" t="inlineStr">
        <is>
          <t>437</t>
        </is>
      </c>
      <c r="B327" s="400" t="inlineStr">
        <is>
          <t>Autres organismes sociaux</t>
        </is>
      </c>
    </row>
    <row r="328">
      <c r="A328" s="399" t="inlineStr">
        <is>
          <t>438</t>
        </is>
      </c>
      <c r="B328" s="400" t="inlineStr">
        <is>
          <t>Organismes sociaux - Charges à payer</t>
        </is>
      </c>
    </row>
    <row r="329">
      <c r="A329" s="399" t="inlineStr">
        <is>
          <t>4382</t>
        </is>
      </c>
      <c r="B329" s="400" t="inlineStr">
        <is>
          <t>Charges sociales sur congés à payer</t>
        </is>
      </c>
    </row>
    <row r="330">
      <c r="A330" s="399" t="inlineStr">
        <is>
          <t>4386</t>
        </is>
      </c>
      <c r="B330" s="400" t="inlineStr">
        <is>
          <t>Autres charges à payer</t>
        </is>
      </c>
    </row>
    <row r="331">
      <c r="A331" s="399" t="inlineStr">
        <is>
          <t>439</t>
        </is>
      </c>
      <c r="B331" s="400" t="inlineStr">
        <is>
          <t>Organismes sociaux - Produits à recevoir</t>
        </is>
      </c>
    </row>
    <row r="332">
      <c r="A332" s="399" t="inlineStr">
        <is>
          <t>44</t>
        </is>
      </c>
      <c r="B332" s="400" t="inlineStr">
        <is>
          <t>État et autres collectivités publiques</t>
        </is>
      </c>
    </row>
    <row r="333">
      <c r="A333" s="399" t="inlineStr">
        <is>
          <t>441</t>
        </is>
      </c>
      <c r="B333" s="400" t="inlineStr">
        <is>
          <t>État - Subventions et aides à recevoir</t>
        </is>
      </c>
    </row>
    <row r="334">
      <c r="A334" s="399" t="inlineStr">
        <is>
          <t>442</t>
        </is>
      </c>
      <c r="B334" s="400" t="inlineStr">
        <is>
          <t>Contributions, impôts et taxes recouvrés pour le compte de l'État</t>
        </is>
      </c>
    </row>
    <row r="335">
      <c r="A335" s="399" t="inlineStr">
        <is>
          <t>4421</t>
        </is>
      </c>
      <c r="B335" s="400" t="inlineStr">
        <is>
          <t>Prélèvements à la source (Impôt sur le revenu)</t>
        </is>
      </c>
    </row>
    <row r="336">
      <c r="A336" s="399" t="inlineStr">
        <is>
          <t>4422</t>
        </is>
      </c>
      <c r="B336" s="400" t="inlineStr">
        <is>
          <t>Prélèvements forfaitaires non libératoires</t>
        </is>
      </c>
    </row>
    <row r="337">
      <c r="A337" s="399" t="inlineStr">
        <is>
          <t>4423</t>
        </is>
      </c>
      <c r="B337" s="400" t="inlineStr">
        <is>
          <t>Retenues et prélèvements sur les distributions</t>
        </is>
      </c>
    </row>
    <row r="338">
      <c r="A338" s="399" t="inlineStr">
        <is>
          <t>444</t>
        </is>
      </c>
      <c r="B338" s="400" t="inlineStr">
        <is>
          <t>État - Impôts sur les bénéfices</t>
        </is>
      </c>
    </row>
    <row r="339">
      <c r="A339" s="399" t="inlineStr">
        <is>
          <t>445</t>
        </is>
      </c>
      <c r="B339" s="400" t="inlineStr">
        <is>
          <t>État - Taxes sur le chiffre d'affaires</t>
        </is>
      </c>
    </row>
    <row r="340">
      <c r="A340" s="399" t="inlineStr">
        <is>
          <t>4452</t>
        </is>
      </c>
      <c r="B340" s="400" t="inlineStr">
        <is>
          <t>TVA due intracommunautaire</t>
        </is>
      </c>
    </row>
    <row r="341">
      <c r="A341" s="399" t="inlineStr">
        <is>
          <t>4455</t>
        </is>
      </c>
      <c r="B341" s="400" t="inlineStr">
        <is>
          <t>Taxes sur le chiffre d'affaires à décaisser</t>
        </is>
      </c>
    </row>
    <row r="342">
      <c r="A342" s="399" t="inlineStr">
        <is>
          <t>44551</t>
        </is>
      </c>
      <c r="B342" s="400" t="inlineStr">
        <is>
          <t>TVA à décaisser</t>
        </is>
      </c>
    </row>
    <row r="343">
      <c r="A343" s="399" t="inlineStr">
        <is>
          <t>44558</t>
        </is>
      </c>
      <c r="B343" s="400" t="inlineStr">
        <is>
          <t>Taxes assimilées à la TVA</t>
        </is>
      </c>
    </row>
    <row r="344">
      <c r="A344" s="399" t="inlineStr">
        <is>
          <t>4456</t>
        </is>
      </c>
      <c r="B344" s="400" t="inlineStr">
        <is>
          <t>Taxes sur le chiffre d'affaires déductibles</t>
        </is>
      </c>
    </row>
    <row r="345">
      <c r="A345" s="399" t="inlineStr">
        <is>
          <t>44562</t>
        </is>
      </c>
      <c r="B345" s="400" t="inlineStr">
        <is>
          <t>TVA sur immobilisations</t>
        </is>
      </c>
    </row>
    <row r="346">
      <c r="A346" s="399" t="inlineStr">
        <is>
          <t>44563</t>
        </is>
      </c>
      <c r="B346" s="400" t="inlineStr">
        <is>
          <t>TVA transférée par d'autres entités</t>
        </is>
      </c>
    </row>
    <row r="347">
      <c r="A347" s="399" t="inlineStr">
        <is>
          <t>44566</t>
        </is>
      </c>
      <c r="B347" s="400" t="inlineStr">
        <is>
          <t>TVA sur autres biens et services</t>
        </is>
      </c>
    </row>
    <row r="348">
      <c r="A348" s="399" t="inlineStr">
        <is>
          <t>44567</t>
        </is>
      </c>
      <c r="B348" s="400" t="inlineStr">
        <is>
          <t>Crédit de TVA à reporter</t>
        </is>
      </c>
    </row>
    <row r="349">
      <c r="A349" s="399" t="inlineStr">
        <is>
          <t>44568</t>
        </is>
      </c>
      <c r="B349" s="400" t="inlineStr">
        <is>
          <t>Taxes assimilées à la TVA</t>
        </is>
      </c>
    </row>
    <row r="350">
      <c r="A350" s="399" t="inlineStr">
        <is>
          <t>4457</t>
        </is>
      </c>
      <c r="B350" s="400" t="inlineStr">
        <is>
          <t>Taxes sur le chiffre d'affaires collectées</t>
        </is>
      </c>
    </row>
    <row r="351">
      <c r="A351" s="399" t="inlineStr">
        <is>
          <t>44571</t>
        </is>
      </c>
      <c r="B351" s="400" t="inlineStr">
        <is>
          <t>TVA collectée</t>
        </is>
      </c>
    </row>
    <row r="352">
      <c r="A352" s="399" t="inlineStr">
        <is>
          <t>44578</t>
        </is>
      </c>
      <c r="B352" s="400" t="inlineStr">
        <is>
          <t>Taxes assimilées à la TVA</t>
        </is>
      </c>
    </row>
    <row r="353">
      <c r="A353" s="399" t="inlineStr">
        <is>
          <t>4458</t>
        </is>
      </c>
      <c r="B353" s="400" t="inlineStr">
        <is>
          <t>Taxes sur le chiffre d'affaires à régulariser ou en attente</t>
        </is>
      </c>
    </row>
    <row r="354">
      <c r="A354" s="399" t="inlineStr">
        <is>
          <t>44581</t>
        </is>
      </c>
      <c r="B354" s="400" t="inlineStr">
        <is>
          <t>Acomptes - Régime simplifié d'imposition</t>
        </is>
      </c>
    </row>
    <row r="355">
      <c r="A355" s="399" t="inlineStr">
        <is>
          <t>44583</t>
        </is>
      </c>
      <c r="B355" s="400" t="inlineStr">
        <is>
          <t>Remboursement de taxes sur le chiffre d'affaires demandé</t>
        </is>
      </c>
    </row>
    <row r="356">
      <c r="A356" s="399" t="inlineStr">
        <is>
          <t>44584</t>
        </is>
      </c>
      <c r="B356" s="400" t="inlineStr">
        <is>
          <t>TVA récupérée d’avance</t>
        </is>
      </c>
    </row>
    <row r="357">
      <c r="A357" s="399" t="inlineStr">
        <is>
          <t>44586</t>
        </is>
      </c>
      <c r="B357" s="400" t="inlineStr">
        <is>
          <t>Taxes sur le chiffre d’affaires sur factures non parvenues</t>
        </is>
      </c>
    </row>
    <row r="358">
      <c r="A358" s="399" t="inlineStr">
        <is>
          <t>44587</t>
        </is>
      </c>
      <c r="B358" s="400" t="inlineStr">
        <is>
          <t>Taxes sur le chiffre d’affaires sur factures à établir</t>
        </is>
      </c>
    </row>
    <row r="359">
      <c r="A359" s="399" t="inlineStr">
        <is>
          <t>446</t>
        </is>
      </c>
      <c r="B359" s="400" t="inlineStr">
        <is>
          <t>Obligations cautionnées</t>
        </is>
      </c>
    </row>
    <row r="360">
      <c r="A360" s="399" t="inlineStr">
        <is>
          <t>447</t>
        </is>
      </c>
      <c r="B360" s="400" t="inlineStr">
        <is>
          <t>Autres impôts, taxes et versements assimilés</t>
        </is>
      </c>
    </row>
    <row r="361">
      <c r="A361" s="399" t="inlineStr">
        <is>
          <t>448</t>
        </is>
      </c>
      <c r="B361" s="400" t="inlineStr">
        <is>
          <t>État - Charges à payer et produits à recevoir</t>
        </is>
      </c>
    </row>
    <row r="362">
      <c r="A362" s="399" t="inlineStr">
        <is>
          <t>4481</t>
        </is>
      </c>
      <c r="B362" s="400" t="inlineStr">
        <is>
          <t>État - Charges à Payer</t>
        </is>
      </c>
    </row>
    <row r="363">
      <c r="A363" s="399" t="inlineStr">
        <is>
          <t>44811</t>
        </is>
      </c>
      <c r="B363" s="400" t="inlineStr">
        <is>
          <t>Charges fiscales sur congés à payer</t>
        </is>
      </c>
    </row>
    <row r="364">
      <c r="A364" s="399" t="inlineStr">
        <is>
          <t>44812</t>
        </is>
      </c>
      <c r="B364" s="400" t="inlineStr">
        <is>
          <t>Charges à payer</t>
        </is>
      </c>
    </row>
    <row r="365">
      <c r="A365" s="399" t="inlineStr">
        <is>
          <t>4482</t>
        </is>
      </c>
      <c r="B365" s="400" t="inlineStr">
        <is>
          <t>État - Produits à recevoir</t>
        </is>
      </c>
    </row>
    <row r="366">
      <c r="A366" s="399" t="inlineStr">
        <is>
          <t>449</t>
        </is>
      </c>
      <c r="B366" s="400" t="inlineStr">
        <is>
          <t>Quotas d’émission à acquérir</t>
        </is>
      </c>
    </row>
    <row r="367">
      <c r="A367" s="399" t="inlineStr">
        <is>
          <t>45</t>
        </is>
      </c>
      <c r="B367" s="400" t="inlineStr">
        <is>
          <t>Groupe et associés</t>
        </is>
      </c>
    </row>
    <row r="368">
      <c r="A368" s="399" t="inlineStr">
        <is>
          <t>451</t>
        </is>
      </c>
      <c r="B368" s="400" t="inlineStr">
        <is>
          <t>Groupe</t>
        </is>
      </c>
    </row>
    <row r="369">
      <c r="A369" s="399" t="inlineStr">
        <is>
          <t>455</t>
        </is>
      </c>
      <c r="B369" s="400" t="inlineStr">
        <is>
          <t>Associés - Comptes courants</t>
        </is>
      </c>
    </row>
    <row r="370">
      <c r="A370" s="399" t="inlineStr">
        <is>
          <t>4551</t>
        </is>
      </c>
      <c r="B370" s="400" t="inlineStr">
        <is>
          <t>Principal</t>
        </is>
      </c>
    </row>
    <row r="371">
      <c r="A371" s="399" t="inlineStr">
        <is>
          <t>4558</t>
        </is>
      </c>
      <c r="B371" s="400" t="inlineStr">
        <is>
          <t>Intérêts courus</t>
        </is>
      </c>
    </row>
    <row r="372">
      <c r="A372" s="399" t="inlineStr">
        <is>
          <t>456</t>
        </is>
      </c>
      <c r="B372" s="400" t="inlineStr">
        <is>
          <t>Associés - Opérations sur le capital</t>
        </is>
      </c>
    </row>
    <row r="373">
      <c r="A373" s="399" t="inlineStr">
        <is>
          <t>4561</t>
        </is>
      </c>
      <c r="B373" s="400" t="inlineStr">
        <is>
          <t>Associés - Comptes d'apport en société</t>
        </is>
      </c>
    </row>
    <row r="374">
      <c r="A374" s="399" t="inlineStr">
        <is>
          <t>45611</t>
        </is>
      </c>
      <c r="B374" s="400" t="inlineStr">
        <is>
          <t>Apports en nature</t>
        </is>
      </c>
    </row>
    <row r="375">
      <c r="A375" s="399" t="inlineStr">
        <is>
          <t>45615</t>
        </is>
      </c>
      <c r="B375" s="400" t="inlineStr">
        <is>
          <t>Apports en numéraire</t>
        </is>
      </c>
    </row>
    <row r="376">
      <c r="A376" s="399" t="inlineStr">
        <is>
          <t>4562</t>
        </is>
      </c>
      <c r="B376" s="400" t="inlineStr">
        <is>
          <t>Apporteurs - Capital appelé, non versé</t>
        </is>
      </c>
    </row>
    <row r="377">
      <c r="A377" s="399" t="inlineStr">
        <is>
          <t>45621</t>
        </is>
      </c>
      <c r="B377" s="400" t="inlineStr">
        <is>
          <t>Actionnaires - Capital souscrit et appelé, non versé</t>
        </is>
      </c>
    </row>
    <row r="378">
      <c r="A378" s="399" t="inlineStr">
        <is>
          <t>45625</t>
        </is>
      </c>
      <c r="B378" s="400" t="inlineStr">
        <is>
          <t>Associés - Capital appelé, non versé</t>
        </is>
      </c>
    </row>
    <row r="379">
      <c r="A379" s="399" t="inlineStr">
        <is>
          <t>4563</t>
        </is>
      </c>
      <c r="B379" s="400" t="inlineStr">
        <is>
          <t>Associés - Versements reçus sur augmentation de capital</t>
        </is>
      </c>
    </row>
    <row r="380">
      <c r="A380" s="399" t="inlineStr">
        <is>
          <t>4564</t>
        </is>
      </c>
      <c r="B380" s="400" t="inlineStr">
        <is>
          <t>Associés - Versements anticipés</t>
        </is>
      </c>
    </row>
    <row r="381">
      <c r="A381" s="399" t="inlineStr">
        <is>
          <t>4566</t>
        </is>
      </c>
      <c r="B381" s="400" t="inlineStr">
        <is>
          <t>Actionnaires défaillants</t>
        </is>
      </c>
    </row>
    <row r="382">
      <c r="A382" s="399" t="inlineStr">
        <is>
          <t>4567</t>
        </is>
      </c>
      <c r="B382" s="400" t="inlineStr">
        <is>
          <t>Associés - Capital à rembourser</t>
        </is>
      </c>
    </row>
    <row r="383">
      <c r="A383" s="399" t="inlineStr">
        <is>
          <t>457</t>
        </is>
      </c>
      <c r="B383" s="400" t="inlineStr">
        <is>
          <t>Associés - Dividendes à payer</t>
        </is>
      </c>
    </row>
    <row r="384">
      <c r="A384" s="399" t="inlineStr">
        <is>
          <t>458</t>
        </is>
      </c>
      <c r="B384" s="400" t="inlineStr">
        <is>
          <t>Associés - Opérations faites en commun et en GIE</t>
        </is>
      </c>
    </row>
    <row r="385">
      <c r="A385" s="399" t="inlineStr">
        <is>
          <t>4581</t>
        </is>
      </c>
      <c r="B385" s="400" t="inlineStr">
        <is>
          <t>Opérations courantes</t>
        </is>
      </c>
    </row>
    <row r="386">
      <c r="A386" s="399" t="inlineStr">
        <is>
          <t>4588</t>
        </is>
      </c>
      <c r="B386" s="400" t="inlineStr">
        <is>
          <t>Intérêts courus</t>
        </is>
      </c>
    </row>
    <row r="387">
      <c r="A387" s="399" t="inlineStr">
        <is>
          <t>46</t>
        </is>
      </c>
      <c r="B387" s="400" t="inlineStr">
        <is>
          <t>Débiteurs divers et créditeurs divers</t>
        </is>
      </c>
    </row>
    <row r="388">
      <c r="A388" s="399" t="inlineStr">
        <is>
          <t>462</t>
        </is>
      </c>
      <c r="B388" s="400" t="inlineStr">
        <is>
          <t>Créances sur cessions d'immobilisations</t>
        </is>
      </c>
    </row>
    <row r="389">
      <c r="A389" s="399" t="inlineStr">
        <is>
          <t>464</t>
        </is>
      </c>
      <c r="B389" s="400" t="inlineStr">
        <is>
          <t>Dettes sur acquisitions de valeurs mobilières de placement</t>
        </is>
      </c>
    </row>
    <row r="390">
      <c r="A390" s="399" t="inlineStr">
        <is>
          <t>465</t>
        </is>
      </c>
      <c r="B390" s="400" t="inlineStr">
        <is>
          <t>Créances sur cessions de valeurs mobilières de placement</t>
        </is>
      </c>
    </row>
    <row r="391">
      <c r="A391" s="399" t="inlineStr">
        <is>
          <t>467</t>
        </is>
      </c>
      <c r="B391" s="400" t="inlineStr">
        <is>
          <t>Divers comptes débiteurs et produits à recevoir</t>
        </is>
      </c>
    </row>
    <row r="392">
      <c r="A392" s="399" t="inlineStr">
        <is>
          <t>468</t>
        </is>
      </c>
      <c r="B392" s="400" t="inlineStr">
        <is>
          <t>Divers comptes créditeurs et charges à payer</t>
        </is>
      </c>
    </row>
    <row r="393">
      <c r="A393" s="399" t="inlineStr">
        <is>
          <t>47</t>
        </is>
      </c>
      <c r="B393" s="400" t="inlineStr">
        <is>
          <t>Comptes transitoires ou d'attente</t>
        </is>
      </c>
    </row>
    <row r="394">
      <c r="A394" s="399" t="inlineStr">
        <is>
          <t>471</t>
        </is>
      </c>
      <c r="B394" s="400" t="inlineStr">
        <is>
          <t>à 473      Comptes d'attente</t>
        </is>
      </c>
    </row>
    <row r="395">
      <c r="A395" s="399" t="inlineStr">
        <is>
          <t>474</t>
        </is>
      </c>
      <c r="B395" s="400" t="inlineStr">
        <is>
          <t>Différences d’évaluation – Actif</t>
        </is>
      </c>
    </row>
    <row r="396">
      <c r="A396" s="399" t="inlineStr">
        <is>
          <t>4741</t>
        </is>
      </c>
      <c r="B396" s="400" t="inlineStr">
        <is>
          <t>Différences d'évaluation sur instruments financiers à terme - Actif</t>
        </is>
      </c>
    </row>
    <row r="397">
      <c r="A397" s="399" t="inlineStr">
        <is>
          <t>4742</t>
        </is>
      </c>
      <c r="B397" s="400" t="inlineStr">
        <is>
          <t>Différences d'évaluation sur jetons détenus - Actif</t>
        </is>
      </c>
    </row>
    <row r="398">
      <c r="A398" s="399" t="inlineStr">
        <is>
          <t>4746</t>
        </is>
      </c>
      <c r="B398" s="400" t="inlineStr">
        <is>
          <t>Différences d’évaluation de jetons sur des passifs - Actif</t>
        </is>
      </c>
    </row>
    <row r="399">
      <c r="A399" s="399" t="inlineStr">
        <is>
          <t>475</t>
        </is>
      </c>
      <c r="B399" s="400" t="inlineStr">
        <is>
          <t>Différences d’évaluation – Passif</t>
        </is>
      </c>
    </row>
    <row r="400">
      <c r="A400" s="399" t="inlineStr">
        <is>
          <t>4751</t>
        </is>
      </c>
      <c r="B400" s="400" t="inlineStr">
        <is>
          <t>Différences d'évaluation sur instruments financiers à terme - Passif</t>
        </is>
      </c>
    </row>
    <row r="401">
      <c r="A401" s="399" t="inlineStr">
        <is>
          <t>4752</t>
        </is>
      </c>
      <c r="B401" s="400" t="inlineStr">
        <is>
          <t>Différences d'évaluation sur jetons détenus - Passif</t>
        </is>
      </c>
    </row>
    <row r="402">
      <c r="A402" s="399" t="inlineStr">
        <is>
          <t>4756</t>
        </is>
      </c>
      <c r="B402" s="400" t="inlineStr">
        <is>
          <t>Différences d’évaluation de jetons sur des passifs - Passif</t>
        </is>
      </c>
    </row>
    <row r="403">
      <c r="A403" s="399" t="inlineStr">
        <is>
          <t>476</t>
        </is>
      </c>
      <c r="B403" s="400" t="inlineStr">
        <is>
          <t>Différence de conversion - Actif</t>
        </is>
      </c>
    </row>
    <row r="404">
      <c r="A404" s="399" t="inlineStr">
        <is>
          <t>4761</t>
        </is>
      </c>
      <c r="B404" s="400" t="inlineStr">
        <is>
          <t>Diminution des créances</t>
        </is>
      </c>
    </row>
    <row r="405">
      <c r="A405" s="399" t="inlineStr">
        <is>
          <t>4762</t>
        </is>
      </c>
      <c r="B405" s="400" t="inlineStr">
        <is>
          <t>Augmentation des dettes</t>
        </is>
      </c>
    </row>
    <row r="406">
      <c r="A406" s="399" t="inlineStr">
        <is>
          <t>4768</t>
        </is>
      </c>
      <c r="B406" s="400" t="inlineStr">
        <is>
          <t>Différences compensées par couverture de change</t>
        </is>
      </c>
    </row>
    <row r="407">
      <c r="A407" s="399" t="inlineStr">
        <is>
          <t>477</t>
        </is>
      </c>
      <c r="B407" s="400" t="inlineStr">
        <is>
          <t>Différences de conversion - Passif</t>
        </is>
      </c>
    </row>
    <row r="408">
      <c r="A408" s="399" t="inlineStr">
        <is>
          <t>4771</t>
        </is>
      </c>
      <c r="B408" s="400" t="inlineStr">
        <is>
          <t>Augmentation des créances</t>
        </is>
      </c>
    </row>
    <row r="409">
      <c r="A409" s="399" t="inlineStr">
        <is>
          <t>4772</t>
        </is>
      </c>
      <c r="B409" s="400" t="inlineStr">
        <is>
          <t>Diminution des dettes</t>
        </is>
      </c>
    </row>
    <row r="410">
      <c r="A410" s="399" t="inlineStr">
        <is>
          <t>4778</t>
        </is>
      </c>
      <c r="B410" s="400" t="inlineStr">
        <is>
          <t>Différences compensées par couverture de change</t>
        </is>
      </c>
    </row>
    <row r="411">
      <c r="A411" s="399" t="inlineStr">
        <is>
          <t>478</t>
        </is>
      </c>
      <c r="B411" s="400" t="inlineStr">
        <is>
          <t>Autres comptes transitoires</t>
        </is>
      </c>
    </row>
    <row r="412">
      <c r="A412" s="399" t="inlineStr">
        <is>
          <t>4781</t>
        </is>
      </c>
      <c r="B412" s="400" t="inlineStr">
        <is>
          <t>Mali de fusion sur actif circulant</t>
        </is>
      </c>
    </row>
    <row r="413">
      <c r="A413" s="399" t="inlineStr">
        <is>
          <t>48</t>
        </is>
      </c>
      <c r="B413" s="400" t="inlineStr">
        <is>
          <t>Comptes de régularisation</t>
        </is>
      </c>
    </row>
    <row r="414">
      <c r="A414" s="399" t="inlineStr">
        <is>
          <t>481</t>
        </is>
      </c>
      <c r="B414" s="400" t="inlineStr">
        <is>
          <t>Frais d’émission des emprunts</t>
        </is>
      </c>
    </row>
    <row r="415">
      <c r="A415" s="399" t="inlineStr">
        <is>
          <t>486</t>
        </is>
      </c>
      <c r="B415" s="400" t="inlineStr">
        <is>
          <t>Charges constatées d'avance</t>
        </is>
      </c>
    </row>
    <row r="416">
      <c r="A416" s="399" t="inlineStr">
        <is>
          <t>487</t>
        </is>
      </c>
      <c r="B416" s="400" t="inlineStr">
        <is>
          <t>Produits constatés d'avance</t>
        </is>
      </c>
    </row>
    <row r="417">
      <c r="A417" s="399" t="inlineStr">
        <is>
          <t>4871</t>
        </is>
      </c>
      <c r="B417" s="400" t="inlineStr">
        <is>
          <t>Produits constatés d’avance sur jetons émis</t>
        </is>
      </c>
    </row>
    <row r="418">
      <c r="A418" s="399" t="inlineStr">
        <is>
          <t>488</t>
        </is>
      </c>
      <c r="B418" s="400" t="inlineStr">
        <is>
          <t>Comptes de répartition périodique des charges et des produits</t>
        </is>
      </c>
    </row>
    <row r="419">
      <c r="A419" s="399" t="inlineStr">
        <is>
          <t>4886</t>
        </is>
      </c>
      <c r="B419" s="400" t="inlineStr">
        <is>
          <t>Charges</t>
        </is>
      </c>
    </row>
    <row r="420">
      <c r="A420" s="399" t="inlineStr">
        <is>
          <t>4887</t>
        </is>
      </c>
      <c r="B420" s="400" t="inlineStr">
        <is>
          <t>Produits</t>
        </is>
      </c>
    </row>
    <row r="421">
      <c r="A421" s="399" t="inlineStr">
        <is>
          <t>49</t>
        </is>
      </c>
      <c r="B421" s="400" t="inlineStr">
        <is>
          <t>Dépréciations des comptes de tiers</t>
        </is>
      </c>
    </row>
    <row r="422">
      <c r="A422" s="399" t="inlineStr">
        <is>
          <t>491</t>
        </is>
      </c>
      <c r="B422" s="400" t="inlineStr">
        <is>
          <t>Dépréciations des comptes de clients</t>
        </is>
      </c>
    </row>
    <row r="423">
      <c r="A423" s="399" t="inlineStr">
        <is>
          <t>495</t>
        </is>
      </c>
      <c r="B423" s="400" t="inlineStr">
        <is>
          <t>Dépréciations des comptes du groupe et des associés</t>
        </is>
      </c>
    </row>
    <row r="424">
      <c r="A424" s="399" t="inlineStr">
        <is>
          <t>4951</t>
        </is>
      </c>
      <c r="B424" s="400" t="inlineStr">
        <is>
          <t>Comptes du groupe</t>
        </is>
      </c>
    </row>
    <row r="425">
      <c r="A425" s="399" t="inlineStr">
        <is>
          <t>4955</t>
        </is>
      </c>
      <c r="B425" s="400" t="inlineStr">
        <is>
          <t>Comptes courants des associés</t>
        </is>
      </c>
    </row>
    <row r="426">
      <c r="A426" s="399" t="inlineStr">
        <is>
          <t>4958</t>
        </is>
      </c>
      <c r="B426" s="400" t="inlineStr">
        <is>
          <t>Opérations faites en commun et en GIE</t>
        </is>
      </c>
    </row>
    <row r="427">
      <c r="A427" s="399" t="inlineStr">
        <is>
          <t>496</t>
        </is>
      </c>
      <c r="B427" s="400" t="inlineStr">
        <is>
          <t>Dépréciations des comptes de débiteurs divers</t>
        </is>
      </c>
    </row>
    <row r="428">
      <c r="A428" s="399" t="inlineStr">
        <is>
          <t>4962</t>
        </is>
      </c>
      <c r="B428" s="400" t="inlineStr">
        <is>
          <t>Créances sur cessions d'immobilisations</t>
        </is>
      </c>
    </row>
    <row r="429">
      <c r="A429" s="399" t="inlineStr">
        <is>
          <t>4965</t>
        </is>
      </c>
      <c r="B429" s="400" t="inlineStr">
        <is>
          <t>Créances sur cessions de valeurs mobilières de placement</t>
        </is>
      </c>
    </row>
    <row r="430">
      <c r="A430" s="399" t="inlineStr">
        <is>
          <t>4967</t>
        </is>
      </c>
      <c r="B430" s="400" t="inlineStr">
        <is>
          <t>Autres comptes débiteurs</t>
        </is>
      </c>
    </row>
    <row r="431">
      <c r="A431" s="399" t="inlineStr">
        <is>
          <t>50</t>
        </is>
      </c>
      <c r="B431" s="400" t="inlineStr">
        <is>
          <t>Valeurs mobilières de placement</t>
        </is>
      </c>
    </row>
    <row r="432">
      <c r="A432" s="399" t="inlineStr">
        <is>
          <t>502</t>
        </is>
      </c>
      <c r="B432" s="400" t="inlineStr">
        <is>
          <t>Actions propres</t>
        </is>
      </c>
    </row>
    <row r="433">
      <c r="A433" s="399" t="inlineStr">
        <is>
          <t>5021</t>
        </is>
      </c>
      <c r="B433" s="400" t="inlineStr">
        <is>
          <t>Actions destinées à être attribuées aux employés et affectées à des plans déterminés</t>
        </is>
      </c>
    </row>
    <row r="434">
      <c r="A434" s="399" t="inlineStr">
        <is>
          <t>5022</t>
        </is>
      </c>
      <c r="B434" s="400" t="inlineStr">
        <is>
          <t>Actions disponibles pour être attribuées aux employés ou pour la régularisation des cours de bourse</t>
        </is>
      </c>
    </row>
    <row r="435">
      <c r="A435" s="399" t="inlineStr">
        <is>
          <t>503</t>
        </is>
      </c>
      <c r="B435" s="400" t="inlineStr">
        <is>
          <t>Actions</t>
        </is>
      </c>
    </row>
    <row r="436">
      <c r="A436" s="399" t="inlineStr">
        <is>
          <t>5031</t>
        </is>
      </c>
      <c r="B436" s="400" t="inlineStr">
        <is>
          <t>Titres cotés</t>
        </is>
      </c>
    </row>
    <row r="437">
      <c r="A437" s="399" t="inlineStr">
        <is>
          <t>5035</t>
        </is>
      </c>
      <c r="B437" s="400" t="inlineStr">
        <is>
          <t>Titres non cotés</t>
        </is>
      </c>
    </row>
    <row r="438">
      <c r="A438" s="399" t="inlineStr">
        <is>
          <t>504</t>
        </is>
      </c>
      <c r="B438" s="400" t="inlineStr">
        <is>
          <t>Autres titres conférant un droit de propriété</t>
        </is>
      </c>
    </row>
    <row r="439">
      <c r="A439" s="399" t="inlineStr">
        <is>
          <t>505</t>
        </is>
      </c>
      <c r="B439" s="400" t="inlineStr">
        <is>
          <t>Obligations et bons émis par la société et rachetés par elle</t>
        </is>
      </c>
    </row>
    <row r="440">
      <c r="A440" s="399" t="inlineStr">
        <is>
          <t>506</t>
        </is>
      </c>
      <c r="B440" s="400" t="inlineStr">
        <is>
          <t>Obligations</t>
        </is>
      </c>
    </row>
    <row r="441">
      <c r="A441" s="399" t="inlineStr">
        <is>
          <t>5061</t>
        </is>
      </c>
      <c r="B441" s="400" t="inlineStr">
        <is>
          <t>Titres cotés</t>
        </is>
      </c>
    </row>
    <row r="442">
      <c r="A442" s="399" t="inlineStr">
        <is>
          <t>5065</t>
        </is>
      </c>
      <c r="B442" s="400" t="inlineStr">
        <is>
          <t>Titres non cotés</t>
        </is>
      </c>
    </row>
    <row r="443">
      <c r="A443" s="399" t="inlineStr">
        <is>
          <t>507</t>
        </is>
      </c>
      <c r="B443" s="400" t="inlineStr">
        <is>
          <t>Bons du Trésor et bons de caisse à court terme</t>
        </is>
      </c>
    </row>
    <row r="444">
      <c r="A444" s="399" t="inlineStr">
        <is>
          <t>508</t>
        </is>
      </c>
      <c r="B444" s="400" t="inlineStr">
        <is>
          <t>Autres valeurs mobilières de placement et autres créances assimilées</t>
        </is>
      </c>
    </row>
    <row r="445">
      <c r="A445" s="399" t="inlineStr">
        <is>
          <t>5081</t>
        </is>
      </c>
      <c r="B445" s="400" t="inlineStr">
        <is>
          <t>Autres valeurs mobilières</t>
        </is>
      </c>
    </row>
    <row r="446">
      <c r="A446" s="399" t="inlineStr">
        <is>
          <t>5082</t>
        </is>
      </c>
      <c r="B446" s="400" t="inlineStr">
        <is>
          <t>Bons de souscription</t>
        </is>
      </c>
    </row>
    <row r="447">
      <c r="A447" s="399" t="inlineStr">
        <is>
          <t>5088</t>
        </is>
      </c>
      <c r="B447" s="400" t="inlineStr">
        <is>
          <t>Intérêts courus sur obligations, bons et valeurs assimilés</t>
        </is>
      </c>
    </row>
    <row r="448">
      <c r="A448" s="399" t="inlineStr">
        <is>
          <t>509</t>
        </is>
      </c>
      <c r="B448" s="400" t="inlineStr">
        <is>
          <t>Versements restant à effectuer sur valeurs mobilières de placement non libérées</t>
        </is>
      </c>
    </row>
    <row r="449">
      <c r="A449" s="399" t="inlineStr">
        <is>
          <t>51</t>
        </is>
      </c>
      <c r="B449" s="400" t="inlineStr">
        <is>
          <t>Banques, établissements financiers et assimilés</t>
        </is>
      </c>
    </row>
    <row r="450">
      <c r="A450" s="399" t="inlineStr">
        <is>
          <t>511</t>
        </is>
      </c>
      <c r="B450" s="400" t="inlineStr">
        <is>
          <t>Valeurs à l'encaissement</t>
        </is>
      </c>
    </row>
    <row r="451">
      <c r="A451" s="399" t="inlineStr">
        <is>
          <t>5111</t>
        </is>
      </c>
      <c r="B451" s="400" t="inlineStr">
        <is>
          <t>Coupons échus à l'encaissement</t>
        </is>
      </c>
    </row>
    <row r="452">
      <c r="A452" s="399" t="inlineStr">
        <is>
          <t>5112</t>
        </is>
      </c>
      <c r="B452" s="400" t="inlineStr">
        <is>
          <t>Chèques à encaisser</t>
        </is>
      </c>
    </row>
    <row r="453">
      <c r="A453" s="399" t="inlineStr">
        <is>
          <t>5113</t>
        </is>
      </c>
      <c r="B453" s="400" t="inlineStr">
        <is>
          <t>Effets à l'encaissement</t>
        </is>
      </c>
    </row>
    <row r="454">
      <c r="A454" s="399" t="inlineStr">
        <is>
          <t>5114</t>
        </is>
      </c>
      <c r="B454" s="400" t="inlineStr">
        <is>
          <t>Effets à l'escompte</t>
        </is>
      </c>
    </row>
    <row r="455">
      <c r="A455" s="399" t="inlineStr">
        <is>
          <t>512</t>
        </is>
      </c>
      <c r="B455" s="400" t="inlineStr">
        <is>
          <t>Banques</t>
        </is>
      </c>
    </row>
    <row r="456">
      <c r="A456" s="399" t="inlineStr">
        <is>
          <t>5121</t>
        </is>
      </c>
      <c r="B456" s="400" t="inlineStr">
        <is>
          <t>Comptes en euros</t>
        </is>
      </c>
    </row>
    <row r="457">
      <c r="A457" s="399" t="inlineStr">
        <is>
          <t>5124</t>
        </is>
      </c>
      <c r="B457" s="400" t="inlineStr">
        <is>
          <t>Comptes en devises</t>
        </is>
      </c>
    </row>
    <row r="458">
      <c r="A458" s="399" t="inlineStr">
        <is>
          <t>517</t>
        </is>
      </c>
      <c r="B458" s="400" t="inlineStr">
        <is>
          <t>Autres organismes financiers</t>
        </is>
      </c>
    </row>
    <row r="459">
      <c r="A459" s="399" t="inlineStr">
        <is>
          <t>518</t>
        </is>
      </c>
      <c r="B459" s="400" t="inlineStr">
        <is>
          <t>Intérêts courus</t>
        </is>
      </c>
    </row>
    <row r="460">
      <c r="A460" s="399" t="inlineStr">
        <is>
          <t>5181</t>
        </is>
      </c>
      <c r="B460" s="400" t="inlineStr">
        <is>
          <t>Intérêts courus à payer</t>
        </is>
      </c>
    </row>
    <row r="461">
      <c r="A461" s="399" t="inlineStr">
        <is>
          <t>5188</t>
        </is>
      </c>
      <c r="B461" s="400" t="inlineStr">
        <is>
          <t>Intérêts courus à recevoir</t>
        </is>
      </c>
    </row>
    <row r="462">
      <c r="A462" s="399" t="inlineStr">
        <is>
          <t>519</t>
        </is>
      </c>
      <c r="B462" s="400" t="inlineStr">
        <is>
          <t>Concours bancaires courants</t>
        </is>
      </c>
    </row>
    <row r="463">
      <c r="A463" s="399" t="inlineStr">
        <is>
          <t>5191</t>
        </is>
      </c>
      <c r="B463" s="400" t="inlineStr">
        <is>
          <t>Crédit de mobilisation de créances commerciales</t>
        </is>
      </c>
    </row>
    <row r="464">
      <c r="A464" s="399" t="inlineStr">
        <is>
          <t>5193</t>
        </is>
      </c>
      <c r="B464" s="400" t="inlineStr">
        <is>
          <t>Mobilisation de créances nées à l'étranger</t>
        </is>
      </c>
    </row>
    <row r="465">
      <c r="A465" s="399" t="inlineStr">
        <is>
          <t>5198</t>
        </is>
      </c>
      <c r="B465" s="400" t="inlineStr">
        <is>
          <t>Intérêts courus sur concours bancaires courants</t>
        </is>
      </c>
    </row>
    <row r="466">
      <c r="A466" s="399" t="inlineStr">
        <is>
          <t>52</t>
        </is>
      </c>
      <c r="B466" s="400" t="inlineStr">
        <is>
          <t>Instruments financiers à terme et jetons détenus</t>
        </is>
      </c>
    </row>
    <row r="467">
      <c r="A467" s="399" t="inlineStr">
        <is>
          <t>521</t>
        </is>
      </c>
      <c r="B467" s="400" t="inlineStr">
        <is>
          <t>Instruments financiers à terme</t>
        </is>
      </c>
    </row>
    <row r="468">
      <c r="A468" s="399" t="inlineStr">
        <is>
          <t>522</t>
        </is>
      </c>
      <c r="B468" s="400" t="inlineStr">
        <is>
          <t>Jetons détenus</t>
        </is>
      </c>
    </row>
    <row r="469">
      <c r="A469" s="399" t="inlineStr">
        <is>
          <t>523</t>
        </is>
      </c>
      <c r="B469" s="400" t="inlineStr">
        <is>
          <t>Jetons auto-détenus</t>
        </is>
      </c>
    </row>
    <row r="470">
      <c r="A470" s="399" t="inlineStr">
        <is>
          <t>524</t>
        </is>
      </c>
      <c r="B470" s="400" t="inlineStr">
        <is>
          <t>Jetons empruntés</t>
        </is>
      </c>
    </row>
    <row r="471">
      <c r="A471" s="399" t="inlineStr">
        <is>
          <t>53</t>
        </is>
      </c>
      <c r="B471" s="400" t="inlineStr">
        <is>
          <t>Caisse</t>
        </is>
      </c>
    </row>
    <row r="472">
      <c r="A472" s="399" t="inlineStr">
        <is>
          <t>58</t>
        </is>
      </c>
      <c r="B472" s="400" t="inlineStr">
        <is>
          <t>Virements internes</t>
        </is>
      </c>
    </row>
    <row r="473">
      <c r="A473" s="399" t="inlineStr">
        <is>
          <t>59</t>
        </is>
      </c>
      <c r="B473" s="400" t="inlineStr">
        <is>
          <t>Dépréciations des comptes financiers</t>
        </is>
      </c>
    </row>
    <row r="474">
      <c r="A474" s="399" t="inlineStr">
        <is>
          <t>590</t>
        </is>
      </c>
      <c r="B474" s="400" t="inlineStr">
        <is>
          <t>Dépréciations des valeurs mobilières de placement</t>
        </is>
      </c>
    </row>
    <row r="475">
      <c r="A475" s="399" t="inlineStr">
        <is>
          <t>5903</t>
        </is>
      </c>
      <c r="B475" s="400" t="inlineStr">
        <is>
          <t>Actions</t>
        </is>
      </c>
    </row>
    <row r="476">
      <c r="A476" s="399" t="inlineStr">
        <is>
          <t>5904</t>
        </is>
      </c>
      <c r="B476" s="400" t="inlineStr">
        <is>
          <t>Autres titres conférant un droit de propriété</t>
        </is>
      </c>
    </row>
    <row r="477">
      <c r="A477" s="399" t="inlineStr">
        <is>
          <t>5906</t>
        </is>
      </c>
      <c r="B477" s="400" t="inlineStr">
        <is>
          <t>Obligations</t>
        </is>
      </c>
    </row>
    <row r="478">
      <c r="A478" s="399" t="inlineStr">
        <is>
          <t>5908</t>
        </is>
      </c>
      <c r="B478" s="400" t="inlineStr">
        <is>
          <t>Autres valeurs mobilières de placement et créances assimilées</t>
        </is>
      </c>
    </row>
    <row r="479">
      <c r="A479" s="399" t="inlineStr">
        <is>
          <t>60</t>
        </is>
      </c>
      <c r="B479" s="400" t="inlineStr">
        <is>
          <t>Achats (sauf 603)</t>
        </is>
      </c>
    </row>
    <row r="480">
      <c r="A480" s="399" t="inlineStr">
        <is>
          <t>601</t>
        </is>
      </c>
      <c r="B480" s="400" t="inlineStr">
        <is>
          <t>Achats stockés - Matières premières et fournitures</t>
        </is>
      </c>
    </row>
    <row r="481">
      <c r="A481" s="399" t="inlineStr">
        <is>
          <t>602</t>
        </is>
      </c>
      <c r="B481" s="400" t="inlineStr">
        <is>
          <t>Achats stockés - Autres approvisionnements</t>
        </is>
      </c>
    </row>
    <row r="482">
      <c r="A482" s="399" t="inlineStr">
        <is>
          <t>6021</t>
        </is>
      </c>
      <c r="B482" s="400" t="inlineStr">
        <is>
          <t>Matières consommables</t>
        </is>
      </c>
    </row>
    <row r="483">
      <c r="A483" s="399" t="inlineStr">
        <is>
          <t>6022</t>
        </is>
      </c>
      <c r="B483" s="400" t="inlineStr">
        <is>
          <t>Fournitures consommables</t>
        </is>
      </c>
    </row>
    <row r="484">
      <c r="A484" s="399" t="inlineStr">
        <is>
          <t>60221</t>
        </is>
      </c>
      <c r="B484" s="400" t="inlineStr">
        <is>
          <t>Combustibles</t>
        </is>
      </c>
    </row>
    <row r="485">
      <c r="A485" s="399" t="inlineStr">
        <is>
          <t>60222</t>
        </is>
      </c>
      <c r="B485" s="400" t="inlineStr">
        <is>
          <t>Produits d'entretien</t>
        </is>
      </c>
    </row>
    <row r="486">
      <c r="A486" s="399" t="inlineStr">
        <is>
          <t>60223</t>
        </is>
      </c>
      <c r="B486" s="400" t="inlineStr">
        <is>
          <t>Fournitures d'atelier et d'usine</t>
        </is>
      </c>
    </row>
    <row r="487">
      <c r="A487" s="399" t="inlineStr">
        <is>
          <t>60224</t>
        </is>
      </c>
      <c r="B487" s="400" t="inlineStr">
        <is>
          <t>Fournitures de magasin</t>
        </is>
      </c>
    </row>
    <row r="488">
      <c r="A488" s="399" t="inlineStr">
        <is>
          <t>60225</t>
        </is>
      </c>
      <c r="B488" s="400" t="inlineStr">
        <is>
          <t>Fourniture de bureau</t>
        </is>
      </c>
    </row>
    <row r="489">
      <c r="A489" s="399" t="inlineStr">
        <is>
          <t>6026</t>
        </is>
      </c>
      <c r="B489" s="400" t="inlineStr">
        <is>
          <t>Emballages</t>
        </is>
      </c>
    </row>
    <row r="490">
      <c r="A490" s="399" t="inlineStr">
        <is>
          <t>60261</t>
        </is>
      </c>
      <c r="B490" s="400" t="inlineStr">
        <is>
          <t>Emballages perdus</t>
        </is>
      </c>
    </row>
    <row r="491">
      <c r="A491" s="399" t="inlineStr">
        <is>
          <t>60262</t>
        </is>
      </c>
      <c r="B491" s="400" t="inlineStr">
        <is>
          <t>Malis sur emballage</t>
        </is>
      </c>
    </row>
    <row r="492">
      <c r="A492" s="399" t="inlineStr">
        <is>
          <t>60265</t>
        </is>
      </c>
      <c r="B492" s="400" t="inlineStr">
        <is>
          <t>Emballages récupérables non identifiables</t>
        </is>
      </c>
    </row>
    <row r="493">
      <c r="A493" s="399" t="inlineStr">
        <is>
          <t>60267</t>
        </is>
      </c>
      <c r="B493" s="400" t="inlineStr">
        <is>
          <t>Emballages à usage mixte</t>
        </is>
      </c>
    </row>
    <row r="494">
      <c r="A494" s="399" t="inlineStr">
        <is>
          <t>603</t>
        </is>
      </c>
      <c r="B494" s="400" t="inlineStr">
        <is>
          <t>Variation des stocks d'approvisionnements et de marchandises</t>
        </is>
      </c>
    </row>
    <row r="495">
      <c r="A495" s="399" t="inlineStr">
        <is>
          <t>6031</t>
        </is>
      </c>
      <c r="B495" s="400" t="inlineStr">
        <is>
          <t>Variation des stocks de matières premières et fournitures</t>
        </is>
      </c>
    </row>
    <row r="496">
      <c r="A496" s="399" t="inlineStr">
        <is>
          <t>6032</t>
        </is>
      </c>
      <c r="B496" s="400" t="inlineStr">
        <is>
          <t>Variation des stocks des autres approvisionnements</t>
        </is>
      </c>
    </row>
    <row r="497">
      <c r="A497" s="399" t="inlineStr">
        <is>
          <t>6037</t>
        </is>
      </c>
      <c r="B497" s="400" t="inlineStr">
        <is>
          <t>Variation des stocks de marchandises</t>
        </is>
      </c>
    </row>
    <row r="498">
      <c r="A498" s="399" t="inlineStr">
        <is>
          <t>604</t>
        </is>
      </c>
      <c r="B498" s="400" t="inlineStr">
        <is>
          <t>Achats d'études et prestations de services</t>
        </is>
      </c>
    </row>
    <row r="499">
      <c r="A499" s="399" t="inlineStr">
        <is>
          <t>605</t>
        </is>
      </c>
      <c r="B499" s="400" t="inlineStr">
        <is>
          <t>Achats de matériel, équipements et travaux</t>
        </is>
      </c>
    </row>
    <row r="500">
      <c r="A500" s="399" t="inlineStr">
        <is>
          <t>606</t>
        </is>
      </c>
      <c r="B500" s="400" t="inlineStr">
        <is>
          <t>Achats non stockés de matière et fournitures</t>
        </is>
      </c>
    </row>
    <row r="501">
      <c r="A501" s="399" t="inlineStr">
        <is>
          <t>6061</t>
        </is>
      </c>
      <c r="B501" s="400" t="inlineStr">
        <is>
          <t>Fournitures non stockables (eau, énergie, etc.)</t>
        </is>
      </c>
    </row>
    <row r="502">
      <c r="A502" s="399" t="inlineStr">
        <is>
          <t>6063</t>
        </is>
      </c>
      <c r="B502" s="400" t="inlineStr">
        <is>
          <t>Fournitures d'entretien et de petit équipement</t>
        </is>
      </c>
    </row>
    <row r="503">
      <c r="A503" s="399" t="inlineStr">
        <is>
          <t>6064</t>
        </is>
      </c>
      <c r="B503" s="400" t="inlineStr">
        <is>
          <t>Fournitures administratives</t>
        </is>
      </c>
    </row>
    <row r="504">
      <c r="A504" s="399" t="inlineStr">
        <is>
          <t>6068</t>
        </is>
      </c>
      <c r="B504" s="400" t="inlineStr">
        <is>
          <t>Autres matières et fournitures</t>
        </is>
      </c>
    </row>
    <row r="505">
      <c r="A505" s="399" t="inlineStr">
        <is>
          <t>607</t>
        </is>
      </c>
      <c r="B505" s="400" t="inlineStr">
        <is>
          <t>Achats de marchandises</t>
        </is>
      </c>
    </row>
    <row r="506">
      <c r="A506" s="399" t="inlineStr">
        <is>
          <t>608</t>
        </is>
      </c>
      <c r="B506" s="400" t="inlineStr">
        <is>
          <t>(Compte réservé, le cas échéant, au regroupement des frais accessoires incorporés aux achats)</t>
        </is>
      </c>
    </row>
    <row r="507">
      <c r="A507" s="399" t="inlineStr">
        <is>
          <t>609</t>
        </is>
      </c>
      <c r="B507" s="400" t="inlineStr">
        <is>
          <t>Rabais, remises et ristournes obtenus sur achats (même ventilation que celle du compte 60)</t>
        </is>
      </c>
    </row>
    <row r="508">
      <c r="A508" s="399" t="inlineStr">
        <is>
          <t>6098</t>
        </is>
      </c>
      <c r="B508" s="400" t="inlineStr">
        <is>
          <t>Rabais, remises et ristournes non affectés</t>
        </is>
      </c>
    </row>
    <row r="509">
      <c r="A509" s="399" t="inlineStr">
        <is>
          <t>61</t>
        </is>
      </c>
      <c r="B509" s="400" t="inlineStr">
        <is>
          <t>Services extérieurs</t>
        </is>
      </c>
    </row>
    <row r="510">
      <c r="A510" s="399" t="inlineStr">
        <is>
          <t>611</t>
        </is>
      </c>
      <c r="B510" s="400" t="inlineStr">
        <is>
          <t>Sous-traitance générale</t>
        </is>
      </c>
    </row>
    <row r="511">
      <c r="A511" s="399" t="inlineStr">
        <is>
          <t>612</t>
        </is>
      </c>
      <c r="B511" s="400" t="inlineStr">
        <is>
          <t>Redevances de crédit-bail</t>
        </is>
      </c>
    </row>
    <row r="512">
      <c r="A512" s="399" t="inlineStr">
        <is>
          <t>6122</t>
        </is>
      </c>
      <c r="B512" s="400" t="inlineStr">
        <is>
          <t>Crédit-bail mobilier</t>
        </is>
      </c>
    </row>
    <row r="513">
      <c r="A513" s="399" t="inlineStr">
        <is>
          <t>6125</t>
        </is>
      </c>
      <c r="B513" s="400" t="inlineStr">
        <is>
          <t>Crédit-bail immobilier</t>
        </is>
      </c>
    </row>
    <row r="514">
      <c r="A514" s="399" t="inlineStr">
        <is>
          <t>613</t>
        </is>
      </c>
      <c r="B514" s="400" t="inlineStr">
        <is>
          <t>Locations</t>
        </is>
      </c>
    </row>
    <row r="515">
      <c r="A515" s="399" t="inlineStr">
        <is>
          <t>6132</t>
        </is>
      </c>
      <c r="B515" s="400" t="inlineStr">
        <is>
          <t>Locations immobilières</t>
        </is>
      </c>
    </row>
    <row r="516">
      <c r="A516" s="399" t="inlineStr">
        <is>
          <t>6135</t>
        </is>
      </c>
      <c r="B516" s="400" t="inlineStr">
        <is>
          <t>Locations mobilières</t>
        </is>
      </c>
    </row>
    <row r="517">
      <c r="A517" s="399" t="inlineStr">
        <is>
          <t>614</t>
        </is>
      </c>
      <c r="B517" s="400" t="inlineStr">
        <is>
          <t>Charges locatives et de copropriété</t>
        </is>
      </c>
    </row>
    <row r="518">
      <c r="A518" s="399" t="inlineStr">
        <is>
          <t>615</t>
        </is>
      </c>
      <c r="B518" s="400" t="inlineStr">
        <is>
          <t>Entretien et réparation</t>
        </is>
      </c>
    </row>
    <row r="519">
      <c r="A519" s="399" t="inlineStr">
        <is>
          <t>6152</t>
        </is>
      </c>
      <c r="B519" s="400" t="inlineStr">
        <is>
          <t>Entretien et réparation sur biens immobiliers</t>
        </is>
      </c>
    </row>
    <row r="520">
      <c r="A520" s="399" t="inlineStr">
        <is>
          <t>6155</t>
        </is>
      </c>
      <c r="B520" s="400" t="inlineStr">
        <is>
          <t>Entretien et réparation sur biens mobiliers</t>
        </is>
      </c>
    </row>
    <row r="521">
      <c r="A521" s="399" t="inlineStr">
        <is>
          <t>6156</t>
        </is>
      </c>
      <c r="B521" s="400" t="inlineStr">
        <is>
          <t>Maintenance</t>
        </is>
      </c>
    </row>
    <row r="522">
      <c r="A522" s="399" t="inlineStr">
        <is>
          <t>616</t>
        </is>
      </c>
      <c r="B522" s="400" t="inlineStr">
        <is>
          <t>Primes d'assurances</t>
        </is>
      </c>
    </row>
    <row r="523">
      <c r="A523" s="399" t="inlineStr">
        <is>
          <t>6161</t>
        </is>
      </c>
      <c r="B523" s="400" t="inlineStr">
        <is>
          <t>Multirisques</t>
        </is>
      </c>
    </row>
    <row r="524">
      <c r="A524" s="399" t="inlineStr">
        <is>
          <t>6162</t>
        </is>
      </c>
      <c r="B524" s="400" t="inlineStr">
        <is>
          <t>Assurance obligatoire dommage construction</t>
        </is>
      </c>
    </row>
    <row r="525">
      <c r="A525" s="399" t="inlineStr">
        <is>
          <t>6163</t>
        </is>
      </c>
      <c r="B525" s="400" t="inlineStr">
        <is>
          <t>Assurance - transport</t>
        </is>
      </c>
    </row>
    <row r="526">
      <c r="A526" s="399" t="inlineStr">
        <is>
          <t>61636</t>
        </is>
      </c>
      <c r="B526" s="400" t="inlineStr">
        <is>
          <t>sur achats</t>
        </is>
      </c>
    </row>
    <row r="527">
      <c r="A527" s="399" t="inlineStr">
        <is>
          <t>61637</t>
        </is>
      </c>
      <c r="B527" s="400" t="inlineStr">
        <is>
          <t>sur ventes</t>
        </is>
      </c>
    </row>
    <row r="528">
      <c r="A528" s="399" t="inlineStr">
        <is>
          <t>61638</t>
        </is>
      </c>
      <c r="B528" s="400" t="inlineStr">
        <is>
          <t>sur autres biens</t>
        </is>
      </c>
    </row>
    <row r="529">
      <c r="A529" s="399" t="inlineStr">
        <is>
          <t>6164</t>
        </is>
      </c>
      <c r="B529" s="400" t="inlineStr">
        <is>
          <t>Risques d'exploitation</t>
        </is>
      </c>
    </row>
    <row r="530">
      <c r="A530" s="399" t="inlineStr">
        <is>
          <t>6165</t>
        </is>
      </c>
      <c r="B530" s="400" t="inlineStr">
        <is>
          <t>Insolvabilité clients</t>
        </is>
      </c>
    </row>
    <row r="531">
      <c r="A531" s="399" t="inlineStr">
        <is>
          <t>617</t>
        </is>
      </c>
      <c r="B531" s="400" t="inlineStr">
        <is>
          <t>Études et recherches</t>
        </is>
      </c>
    </row>
    <row r="532">
      <c r="A532" s="399" t="inlineStr">
        <is>
          <t>618</t>
        </is>
      </c>
      <c r="B532" s="400" t="inlineStr">
        <is>
          <t>Divers</t>
        </is>
      </c>
    </row>
    <row r="533">
      <c r="A533" s="399" t="inlineStr">
        <is>
          <t>6181</t>
        </is>
      </c>
      <c r="B533" s="400" t="inlineStr">
        <is>
          <t>Documentation générale</t>
        </is>
      </c>
    </row>
    <row r="534">
      <c r="A534" s="399" t="inlineStr">
        <is>
          <t>6183</t>
        </is>
      </c>
      <c r="B534" s="400" t="inlineStr">
        <is>
          <t>Documentation technique</t>
        </is>
      </c>
    </row>
    <row r="535">
      <c r="A535" s="399" t="inlineStr">
        <is>
          <t>6185</t>
        </is>
      </c>
      <c r="B535" s="400" t="inlineStr">
        <is>
          <t>Frais de colloques, séminaires, conférences</t>
        </is>
      </c>
    </row>
    <row r="536">
      <c r="A536" s="399" t="inlineStr">
        <is>
          <t>619</t>
        </is>
      </c>
      <c r="B536" s="400" t="inlineStr">
        <is>
          <t>Rabais, remises et ristournes obtenus sur services extérieurs</t>
        </is>
      </c>
    </row>
    <row r="537">
      <c r="A537" s="399" t="inlineStr">
        <is>
          <t>62</t>
        </is>
      </c>
      <c r="B537" s="400" t="inlineStr">
        <is>
          <t>Autres services extérieurs</t>
        </is>
      </c>
    </row>
    <row r="538">
      <c r="A538" s="399" t="inlineStr">
        <is>
          <t>621</t>
        </is>
      </c>
      <c r="B538" s="400" t="inlineStr">
        <is>
          <t>Personnel extérieur à l'entité</t>
        </is>
      </c>
    </row>
    <row r="539">
      <c r="A539" s="399" t="inlineStr">
        <is>
          <t>6211</t>
        </is>
      </c>
      <c r="B539" s="400" t="inlineStr">
        <is>
          <t>Personnel intérimaire</t>
        </is>
      </c>
    </row>
    <row r="540">
      <c r="A540" s="399" t="inlineStr">
        <is>
          <t>6214</t>
        </is>
      </c>
      <c r="B540" s="400" t="inlineStr">
        <is>
          <t>Personnel détaché ou prêté à l'entité</t>
        </is>
      </c>
    </row>
    <row r="541">
      <c r="A541" s="399" t="inlineStr">
        <is>
          <t>622</t>
        </is>
      </c>
      <c r="B541" s="400" t="inlineStr">
        <is>
          <t>Rémunérations d'intermédiaires et honoraires</t>
        </is>
      </c>
    </row>
    <row r="542">
      <c r="A542" s="399" t="inlineStr">
        <is>
          <t>6221</t>
        </is>
      </c>
      <c r="B542" s="400" t="inlineStr">
        <is>
          <t>Commissions et courtages sur achats</t>
        </is>
      </c>
    </row>
    <row r="543">
      <c r="A543" s="399" t="inlineStr">
        <is>
          <t>6222</t>
        </is>
      </c>
      <c r="B543" s="400" t="inlineStr">
        <is>
          <t>Commissions et courtages sur ventes</t>
        </is>
      </c>
    </row>
    <row r="544">
      <c r="A544" s="399" t="inlineStr">
        <is>
          <t>6224</t>
        </is>
      </c>
      <c r="B544" s="400" t="inlineStr">
        <is>
          <t>Rémunérations des transitaires</t>
        </is>
      </c>
    </row>
    <row r="545">
      <c r="A545" s="399" t="inlineStr">
        <is>
          <t>6225</t>
        </is>
      </c>
      <c r="B545" s="400" t="inlineStr">
        <is>
          <t>Rémunérations d'affacturage</t>
        </is>
      </c>
    </row>
    <row r="546">
      <c r="A546" s="399" t="inlineStr">
        <is>
          <t>6226</t>
        </is>
      </c>
      <c r="B546" s="400" t="inlineStr">
        <is>
          <t>Honoraires</t>
        </is>
      </c>
    </row>
    <row r="547">
      <c r="A547" s="399" t="inlineStr">
        <is>
          <t>6227</t>
        </is>
      </c>
      <c r="B547" s="400" t="inlineStr">
        <is>
          <t>Frais d'actes et de contentieux</t>
        </is>
      </c>
    </row>
    <row r="548">
      <c r="A548" s="399" t="inlineStr">
        <is>
          <t>6228</t>
        </is>
      </c>
      <c r="B548" s="400" t="inlineStr">
        <is>
          <t>Divers</t>
        </is>
      </c>
    </row>
    <row r="549">
      <c r="A549" s="399" t="inlineStr">
        <is>
          <t>623</t>
        </is>
      </c>
      <c r="B549" s="400" t="inlineStr">
        <is>
          <t>Publicité, publications, relations publiques</t>
        </is>
      </c>
    </row>
    <row r="550">
      <c r="A550" s="399" t="inlineStr">
        <is>
          <t>6231</t>
        </is>
      </c>
      <c r="B550" s="400" t="inlineStr">
        <is>
          <t>Annonces et insertions</t>
        </is>
      </c>
    </row>
    <row r="551">
      <c r="A551" s="399" t="inlineStr">
        <is>
          <t>6232</t>
        </is>
      </c>
      <c r="B551" s="400" t="inlineStr">
        <is>
          <t>Échantillons</t>
        </is>
      </c>
    </row>
    <row r="552">
      <c r="A552" s="399" t="inlineStr">
        <is>
          <t>6233</t>
        </is>
      </c>
      <c r="B552" s="400" t="inlineStr">
        <is>
          <t>Foires et expositions</t>
        </is>
      </c>
    </row>
    <row r="553">
      <c r="A553" s="399" t="inlineStr">
        <is>
          <t>6234</t>
        </is>
      </c>
      <c r="B553" s="400" t="inlineStr">
        <is>
          <t>Cadeaux à la clientèle</t>
        </is>
      </c>
    </row>
    <row r="554">
      <c r="A554" s="399" t="inlineStr">
        <is>
          <t>6235</t>
        </is>
      </c>
      <c r="B554" s="400" t="inlineStr">
        <is>
          <t>Primes</t>
        </is>
      </c>
    </row>
    <row r="555">
      <c r="A555" s="399" t="inlineStr">
        <is>
          <t>6236</t>
        </is>
      </c>
      <c r="B555" s="400" t="inlineStr">
        <is>
          <t>Catalogues et imprimés</t>
        </is>
      </c>
    </row>
    <row r="556">
      <c r="A556" s="399" t="inlineStr">
        <is>
          <t>6237</t>
        </is>
      </c>
      <c r="B556" s="400" t="inlineStr">
        <is>
          <t>Publications</t>
        </is>
      </c>
    </row>
    <row r="557">
      <c r="A557" s="399" t="inlineStr">
        <is>
          <t>6238</t>
        </is>
      </c>
      <c r="B557" s="400" t="inlineStr">
        <is>
          <t>Divers (pourboires, dons courants)</t>
        </is>
      </c>
    </row>
    <row r="558">
      <c r="A558" s="399" t="inlineStr">
        <is>
          <t>624</t>
        </is>
      </c>
      <c r="B558" s="400" t="inlineStr">
        <is>
          <t>Transports de biens et transports collectifs du personnel</t>
        </is>
      </c>
    </row>
    <row r="559">
      <c r="A559" s="399" t="inlineStr">
        <is>
          <t>6241</t>
        </is>
      </c>
      <c r="B559" s="400" t="inlineStr">
        <is>
          <t>Transports sur achats</t>
        </is>
      </c>
    </row>
    <row r="560">
      <c r="A560" s="399" t="inlineStr">
        <is>
          <t>6242</t>
        </is>
      </c>
      <c r="B560" s="400" t="inlineStr">
        <is>
          <t>Transports sur ventes</t>
        </is>
      </c>
    </row>
    <row r="561">
      <c r="A561" s="399" t="inlineStr">
        <is>
          <t>6243</t>
        </is>
      </c>
      <c r="B561" s="400" t="inlineStr">
        <is>
          <t>Transports entre établissements ou chantiers</t>
        </is>
      </c>
    </row>
    <row r="562">
      <c r="A562" s="399" t="inlineStr">
        <is>
          <t>6244</t>
        </is>
      </c>
      <c r="B562" s="400" t="inlineStr">
        <is>
          <t>Transports administratifs</t>
        </is>
      </c>
    </row>
    <row r="563">
      <c r="A563" s="399" t="inlineStr">
        <is>
          <t>6247</t>
        </is>
      </c>
      <c r="B563" s="400" t="inlineStr">
        <is>
          <t>Transports collectifs du personnel</t>
        </is>
      </c>
    </row>
    <row r="564">
      <c r="A564" s="399" t="inlineStr">
        <is>
          <t>6248</t>
        </is>
      </c>
      <c r="B564" s="400" t="inlineStr">
        <is>
          <t>Divers</t>
        </is>
      </c>
    </row>
    <row r="565">
      <c r="A565" s="399" t="inlineStr">
        <is>
          <t>625</t>
        </is>
      </c>
      <c r="B565" s="400" t="inlineStr">
        <is>
          <t>Déplacements, missions et réceptions</t>
        </is>
      </c>
    </row>
    <row r="566">
      <c r="A566" s="399" t="inlineStr">
        <is>
          <t>6251</t>
        </is>
      </c>
      <c r="B566" s="400" t="inlineStr">
        <is>
          <t>Voyages et déplacements</t>
        </is>
      </c>
    </row>
    <row r="567">
      <c r="A567" s="399" t="inlineStr">
        <is>
          <t>6255</t>
        </is>
      </c>
      <c r="B567" s="400" t="inlineStr">
        <is>
          <t>Frais de déménagement</t>
        </is>
      </c>
    </row>
    <row r="568">
      <c r="A568" s="399" t="inlineStr">
        <is>
          <t>6256</t>
        </is>
      </c>
      <c r="B568" s="400" t="inlineStr">
        <is>
          <t>Missions</t>
        </is>
      </c>
    </row>
    <row r="569">
      <c r="A569" s="399" t="inlineStr">
        <is>
          <t>6257</t>
        </is>
      </c>
      <c r="B569" s="400" t="inlineStr">
        <is>
          <t>Réceptions</t>
        </is>
      </c>
    </row>
    <row r="570">
      <c r="A570" s="399" t="inlineStr">
        <is>
          <t>626</t>
        </is>
      </c>
      <c r="B570" s="400" t="inlineStr">
        <is>
          <t>Frais postaux et de télécommunications</t>
        </is>
      </c>
    </row>
    <row r="571">
      <c r="A571" s="399" t="inlineStr">
        <is>
          <t>627</t>
        </is>
      </c>
      <c r="B571" s="400" t="inlineStr">
        <is>
          <t>Services bancaires et assimilés</t>
        </is>
      </c>
    </row>
    <row r="572">
      <c r="A572" s="399" t="inlineStr">
        <is>
          <t>6271</t>
        </is>
      </c>
      <c r="B572" s="400" t="inlineStr">
        <is>
          <t>Frais sur titres (achat, vente, garde)</t>
        </is>
      </c>
    </row>
    <row r="573">
      <c r="A573" s="399" t="inlineStr">
        <is>
          <t>6272</t>
        </is>
      </c>
      <c r="B573" s="400" t="inlineStr">
        <is>
          <t>Commissions et frais sur émission d'emprunts</t>
        </is>
      </c>
    </row>
    <row r="574">
      <c r="A574" s="399" t="inlineStr">
        <is>
          <t>6275</t>
        </is>
      </c>
      <c r="B574" s="400" t="inlineStr">
        <is>
          <t>Frais sur effets</t>
        </is>
      </c>
    </row>
    <row r="575">
      <c r="A575" s="399" t="inlineStr">
        <is>
          <t>6276</t>
        </is>
      </c>
      <c r="B575" s="400" t="inlineStr">
        <is>
          <t>Location de coffres</t>
        </is>
      </c>
    </row>
    <row r="576">
      <c r="A576" s="399" t="inlineStr">
        <is>
          <t>6278</t>
        </is>
      </c>
      <c r="B576" s="400" t="inlineStr">
        <is>
          <t>Autres frais et commissions sur prestations de services</t>
        </is>
      </c>
    </row>
    <row r="577">
      <c r="A577" s="399" t="inlineStr">
        <is>
          <t>628</t>
        </is>
      </c>
      <c r="B577" s="400" t="inlineStr">
        <is>
          <t>Divers</t>
        </is>
      </c>
    </row>
    <row r="578">
      <c r="A578" s="399" t="inlineStr">
        <is>
          <t>6281</t>
        </is>
      </c>
      <c r="B578" s="400" t="inlineStr">
        <is>
          <t>Concours divers (cotisations)</t>
        </is>
      </c>
    </row>
    <row r="579">
      <c r="A579" s="399" t="inlineStr">
        <is>
          <t>6284</t>
        </is>
      </c>
      <c r="B579" s="400" t="inlineStr">
        <is>
          <t>Frais de recrutement de personnel</t>
        </is>
      </c>
    </row>
    <row r="580">
      <c r="A580" s="399" t="inlineStr">
        <is>
          <t>629</t>
        </is>
      </c>
      <c r="B580" s="400" t="inlineStr">
        <is>
          <t>Rabais, remises et ristournes obtenus sur autres services extérieurs</t>
        </is>
      </c>
    </row>
    <row r="581">
      <c r="A581" s="399" t="inlineStr">
        <is>
          <t>63</t>
        </is>
      </c>
      <c r="B581" s="400" t="inlineStr">
        <is>
          <t>Impôts, taxes et versements assimilés</t>
        </is>
      </c>
    </row>
    <row r="582">
      <c r="A582" s="399" t="inlineStr">
        <is>
          <t>631</t>
        </is>
      </c>
      <c r="B582" s="400" t="inlineStr">
        <is>
          <t>Impôts, taxes et versements assimilés sur rémunérations (administrations des impôts)</t>
        </is>
      </c>
    </row>
    <row r="583">
      <c r="A583" s="399" t="inlineStr">
        <is>
          <t>6311</t>
        </is>
      </c>
      <c r="B583" s="400" t="inlineStr">
        <is>
          <t>Taxe sur les salaires</t>
        </is>
      </c>
    </row>
    <row r="584">
      <c r="A584" s="399" t="inlineStr">
        <is>
          <t>6314</t>
        </is>
      </c>
      <c r="B584" s="400" t="inlineStr">
        <is>
          <t>Cotisation pour défaut d'investissement obligatoire dans la construction</t>
        </is>
      </c>
    </row>
    <row r="585">
      <c r="A585" s="399" t="inlineStr">
        <is>
          <t>6318</t>
        </is>
      </c>
      <c r="B585" s="400" t="inlineStr">
        <is>
          <t>Autres</t>
        </is>
      </c>
    </row>
    <row r="586">
      <c r="A586" s="399" t="inlineStr">
        <is>
          <t>633</t>
        </is>
      </c>
      <c r="B586" s="400" t="inlineStr">
        <is>
          <t>Impôts, taxes et versements assimilés sur rémunérations (autres organismes)</t>
        </is>
      </c>
    </row>
    <row r="587">
      <c r="A587" s="399" t="inlineStr">
        <is>
          <t>6331</t>
        </is>
      </c>
      <c r="B587" s="400" t="inlineStr">
        <is>
          <t>Versement de transport</t>
        </is>
      </c>
    </row>
    <row r="588">
      <c r="A588" s="399" t="inlineStr">
        <is>
          <t>6332</t>
        </is>
      </c>
      <c r="B588" s="400" t="inlineStr">
        <is>
          <t>Allocations logement</t>
        </is>
      </c>
    </row>
    <row r="589">
      <c r="A589" s="399" t="inlineStr">
        <is>
          <t>6333</t>
        </is>
      </c>
      <c r="B589" s="400" t="inlineStr">
        <is>
          <t>Contribution unique des employeurs à la formation professionnelle</t>
        </is>
      </c>
    </row>
    <row r="590">
      <c r="A590" s="399" t="inlineStr">
        <is>
          <t>6334</t>
        </is>
      </c>
      <c r="B590" s="400" t="inlineStr">
        <is>
          <t>Participation des employeurs à l'effort de construction</t>
        </is>
      </c>
    </row>
    <row r="591">
      <c r="A591" s="399" t="inlineStr">
        <is>
          <t>6335</t>
        </is>
      </c>
      <c r="B591" s="400" t="inlineStr">
        <is>
          <t>Versements libératoires ouvrant droit à l'exonération de la taxe d'apprentissage</t>
        </is>
      </c>
    </row>
    <row r="592">
      <c r="A592" s="399" t="inlineStr">
        <is>
          <t>6338</t>
        </is>
      </c>
      <c r="B592" s="400" t="inlineStr">
        <is>
          <t>Autres</t>
        </is>
      </c>
    </row>
    <row r="593">
      <c r="A593" s="399" t="inlineStr">
        <is>
          <t>635</t>
        </is>
      </c>
      <c r="B593" s="400" t="inlineStr">
        <is>
          <t>Autres impôts, taxes et versements assimilés (administrations des impôts)</t>
        </is>
      </c>
    </row>
    <row r="594">
      <c r="A594" s="399" t="inlineStr">
        <is>
          <t>6351</t>
        </is>
      </c>
      <c r="B594" s="400" t="inlineStr">
        <is>
          <t>Impôts directs (sauf impôts sur les bénéfices)</t>
        </is>
      </c>
    </row>
    <row r="595">
      <c r="A595" s="399" t="inlineStr">
        <is>
          <t>63511</t>
        </is>
      </c>
      <c r="B595" s="400" t="inlineStr">
        <is>
          <t>Contribution économique territoriale</t>
        </is>
      </c>
    </row>
    <row r="596">
      <c r="A596" s="399" t="inlineStr">
        <is>
          <t>63512</t>
        </is>
      </c>
      <c r="B596" s="400" t="inlineStr">
        <is>
          <t>Taxes foncières</t>
        </is>
      </c>
    </row>
    <row r="597">
      <c r="A597" s="399" t="inlineStr">
        <is>
          <t>63513</t>
        </is>
      </c>
      <c r="B597" s="400" t="inlineStr">
        <is>
          <t>Autres impôts locaux</t>
        </is>
      </c>
    </row>
    <row r="598">
      <c r="A598" s="399" t="inlineStr">
        <is>
          <t>63514</t>
        </is>
      </c>
      <c r="B598" s="400" t="inlineStr">
        <is>
          <t>Taxe sur les véhicules des sociétés</t>
        </is>
      </c>
    </row>
    <row r="599">
      <c r="A599" s="399" t="inlineStr">
        <is>
          <t>6352</t>
        </is>
      </c>
      <c r="B599" s="400" t="inlineStr">
        <is>
          <t>Taxe sur le chiffre d'affaires non récupérables</t>
        </is>
      </c>
    </row>
    <row r="600">
      <c r="A600" s="399" t="inlineStr">
        <is>
          <t>6353</t>
        </is>
      </c>
      <c r="B600" s="400" t="inlineStr">
        <is>
          <t>Impôts indirects</t>
        </is>
      </c>
    </row>
    <row r="601">
      <c r="A601" s="399" t="inlineStr">
        <is>
          <t>6354</t>
        </is>
      </c>
      <c r="B601" s="400" t="inlineStr">
        <is>
          <t>Droits d'enregistrement et de timbre</t>
        </is>
      </c>
    </row>
    <row r="602">
      <c r="A602" s="399" t="inlineStr">
        <is>
          <t>63541</t>
        </is>
      </c>
      <c r="B602" s="400" t="inlineStr">
        <is>
          <t>Droits de mutation</t>
        </is>
      </c>
    </row>
    <row r="603">
      <c r="A603" s="399" t="inlineStr">
        <is>
          <t>6358</t>
        </is>
      </c>
      <c r="B603" s="400" t="inlineStr">
        <is>
          <t>Autres droits</t>
        </is>
      </c>
    </row>
    <row r="604">
      <c r="A604" s="399" t="inlineStr">
        <is>
          <t>637</t>
        </is>
      </c>
      <c r="B604" s="400" t="inlineStr">
        <is>
          <t>Autres impôts, taxes et versements assimilés (autres organismes)</t>
        </is>
      </c>
    </row>
    <row r="605">
      <c r="A605" s="399" t="inlineStr">
        <is>
          <t>6371</t>
        </is>
      </c>
      <c r="B605" s="400" t="inlineStr">
        <is>
          <t>Contribution sociale de solidarité à la charge des sociétés</t>
        </is>
      </c>
    </row>
    <row r="606">
      <c r="A606" s="399" t="inlineStr">
        <is>
          <t>6372</t>
        </is>
      </c>
      <c r="B606" s="400" t="inlineStr">
        <is>
          <t>Taxes perçues par les organismes publics internationaux</t>
        </is>
      </c>
    </row>
    <row r="607">
      <c r="A607" s="399" t="inlineStr">
        <is>
          <t>6374</t>
        </is>
      </c>
      <c r="B607" s="400" t="inlineStr">
        <is>
          <t>Impôts et taxes exigibles à l'étranger</t>
        </is>
      </c>
    </row>
    <row r="608">
      <c r="A608" s="399" t="inlineStr">
        <is>
          <t>6378</t>
        </is>
      </c>
      <c r="B608" s="400" t="inlineStr">
        <is>
          <t>Taxes diverses</t>
        </is>
      </c>
    </row>
    <row r="609">
      <c r="A609" s="399" t="inlineStr">
        <is>
          <t>638</t>
        </is>
      </c>
      <c r="B609" s="400" t="inlineStr">
        <is>
          <t>Rappel d’impôts (autres qu’impôts sur les bénéfices)</t>
        </is>
      </c>
    </row>
    <row r="610">
      <c r="A610" s="399" t="inlineStr">
        <is>
          <t>64</t>
        </is>
      </c>
      <c r="B610" s="400" t="inlineStr">
        <is>
          <t>Charges de personnel</t>
        </is>
      </c>
    </row>
    <row r="611">
      <c r="A611" s="399" t="inlineStr">
        <is>
          <t>641</t>
        </is>
      </c>
      <c r="B611" s="400" t="inlineStr">
        <is>
          <t>Rémunérations du personnel</t>
        </is>
      </c>
    </row>
    <row r="612">
      <c r="A612" s="399" t="inlineStr">
        <is>
          <t>6411</t>
        </is>
      </c>
      <c r="B612" s="400" t="inlineStr">
        <is>
          <t>Salaires, appointements</t>
        </is>
      </c>
    </row>
    <row r="613">
      <c r="A613" s="399" t="inlineStr">
        <is>
          <t>6412</t>
        </is>
      </c>
      <c r="B613" s="400" t="inlineStr">
        <is>
          <t>Congés payés</t>
        </is>
      </c>
    </row>
    <row r="614">
      <c r="A614" s="399" t="inlineStr">
        <is>
          <t>6413</t>
        </is>
      </c>
      <c r="B614" s="400" t="inlineStr">
        <is>
          <t>Primes et gratifications</t>
        </is>
      </c>
    </row>
    <row r="615">
      <c r="A615" s="399" t="inlineStr">
        <is>
          <t>6414</t>
        </is>
      </c>
      <c r="B615" s="400" t="inlineStr">
        <is>
          <t>Indemnités et avantages divers</t>
        </is>
      </c>
    </row>
    <row r="616">
      <c r="A616" s="399" t="inlineStr">
        <is>
          <t>6415</t>
        </is>
      </c>
      <c r="B616" s="400" t="inlineStr">
        <is>
          <t>Supplément familial</t>
        </is>
      </c>
    </row>
    <row r="617">
      <c r="A617" s="399" t="inlineStr">
        <is>
          <t>644</t>
        </is>
      </c>
      <c r="B617" s="400" t="inlineStr">
        <is>
          <t>Rémunération du travail de l'exploitant</t>
        </is>
      </c>
    </row>
    <row r="618">
      <c r="A618" s="399" t="inlineStr">
        <is>
          <t>645</t>
        </is>
      </c>
      <c r="B618" s="400" t="inlineStr">
        <is>
          <t>Cotisations de sécurité sociale et de prévoyance</t>
        </is>
      </c>
    </row>
    <row r="619">
      <c r="A619" s="399" t="inlineStr">
        <is>
          <t>6451</t>
        </is>
      </c>
      <c r="B619" s="400" t="inlineStr">
        <is>
          <t>Cotisations à l'Urssaf</t>
        </is>
      </c>
    </row>
    <row r="620">
      <c r="A620" s="399" t="inlineStr">
        <is>
          <t>6452</t>
        </is>
      </c>
      <c r="B620" s="400" t="inlineStr">
        <is>
          <t>Cotisations aux mutuelles</t>
        </is>
      </c>
    </row>
    <row r="621">
      <c r="A621" s="399" t="inlineStr">
        <is>
          <t>6453</t>
        </is>
      </c>
      <c r="B621" s="400" t="inlineStr">
        <is>
          <t>Cotisations aux caisses de retraites</t>
        </is>
      </c>
    </row>
    <row r="622">
      <c r="A622" s="399" t="inlineStr">
        <is>
          <t>6454</t>
        </is>
      </c>
      <c r="B622" s="400" t="inlineStr">
        <is>
          <t>Cotisations à Pôle emploi</t>
        </is>
      </c>
    </row>
    <row r="623">
      <c r="A623" s="399" t="inlineStr">
        <is>
          <t>6458</t>
        </is>
      </c>
      <c r="B623" s="400" t="inlineStr">
        <is>
          <t>Cotisations aux autres organismes sociaux</t>
        </is>
      </c>
    </row>
    <row r="624">
      <c r="A624" s="399" t="inlineStr">
        <is>
          <t>646</t>
        </is>
      </c>
      <c r="B624" s="400" t="inlineStr">
        <is>
          <t>Cotisations sociales personnelles de l'exploitant</t>
        </is>
      </c>
    </row>
    <row r="625">
      <c r="A625" s="399" t="inlineStr">
        <is>
          <t>647</t>
        </is>
      </c>
      <c r="B625" s="400" t="inlineStr">
        <is>
          <t>Autres cotisations sociales</t>
        </is>
      </c>
    </row>
    <row r="626">
      <c r="A626" s="399" t="inlineStr">
        <is>
          <t>6471</t>
        </is>
      </c>
      <c r="B626" s="400" t="inlineStr">
        <is>
          <t>Prestations directes</t>
        </is>
      </c>
    </row>
    <row r="627">
      <c r="A627" s="399" t="inlineStr">
        <is>
          <t>6472</t>
        </is>
      </c>
      <c r="B627" s="400" t="inlineStr">
        <is>
          <t>Versements au comité social et économique</t>
        </is>
      </c>
    </row>
    <row r="628">
      <c r="A628" s="399" t="inlineStr">
        <is>
          <t>6474</t>
        </is>
      </c>
      <c r="B628" s="400" t="inlineStr">
        <is>
          <t>Versements aux autres œuvres sociales</t>
        </is>
      </c>
    </row>
    <row r="629">
      <c r="A629" s="399" t="inlineStr">
        <is>
          <t>6475</t>
        </is>
      </c>
      <c r="B629" s="400" t="inlineStr">
        <is>
          <t>Médecine du travail, pharmacie</t>
        </is>
      </c>
    </row>
    <row r="630">
      <c r="A630" s="399" t="inlineStr">
        <is>
          <t>648</t>
        </is>
      </c>
      <c r="B630" s="400" t="inlineStr">
        <is>
          <t>Autres charges de personnel</t>
        </is>
      </c>
    </row>
    <row r="631">
      <c r="A631" s="399" t="inlineStr">
        <is>
          <t>649</t>
        </is>
      </c>
      <c r="B631" s="400" t="inlineStr">
        <is>
          <t>Remboursements de charges de personnel</t>
        </is>
      </c>
    </row>
    <row r="632">
      <c r="A632" s="399" t="inlineStr">
        <is>
          <t>65</t>
        </is>
      </c>
      <c r="B632" s="400" t="inlineStr">
        <is>
          <t>Autres charges de gestion courante</t>
        </is>
      </c>
    </row>
    <row r="633">
      <c r="A633" s="399" t="inlineStr">
        <is>
          <t>651</t>
        </is>
      </c>
      <c r="B633" s="400" t="inlineStr">
        <is>
          <t>Redevances pour concessions, brevets, licences, marques, procédés, solutions informatiques, droits et valeurs similaires</t>
        </is>
      </c>
    </row>
    <row r="634">
      <c r="A634" s="399" t="inlineStr">
        <is>
          <t>6511</t>
        </is>
      </c>
      <c r="B634" s="400" t="inlineStr">
        <is>
          <t>Redevances pour concessions, brevets, licences, marques, procédés, solutions informatiques</t>
        </is>
      </c>
    </row>
    <row r="635">
      <c r="A635" s="399" t="inlineStr">
        <is>
          <t>6516</t>
        </is>
      </c>
      <c r="B635" s="400" t="inlineStr">
        <is>
          <t>Droits d'auteur et de reproduction</t>
        </is>
      </c>
    </row>
    <row r="636">
      <c r="A636" s="399" t="inlineStr">
        <is>
          <t>6518</t>
        </is>
      </c>
      <c r="B636" s="400" t="inlineStr">
        <is>
          <t>Autres droits et valeurs similaires</t>
        </is>
      </c>
    </row>
    <row r="637">
      <c r="A637" s="399" t="inlineStr">
        <is>
          <t>653</t>
        </is>
      </c>
      <c r="B637" s="400" t="inlineStr">
        <is>
          <t>Rémunérations de l’activité des administrateurs et des gérants</t>
        </is>
      </c>
    </row>
    <row r="638">
      <c r="A638" s="399" t="inlineStr">
        <is>
          <t>654</t>
        </is>
      </c>
      <c r="B638" s="400" t="inlineStr">
        <is>
          <t>Pertes sur créances irrécouvrables</t>
        </is>
      </c>
    </row>
    <row r="639">
      <c r="A639" s="399" t="inlineStr">
        <is>
          <t>6541</t>
        </is>
      </c>
      <c r="B639" s="400" t="inlineStr">
        <is>
          <t>Créances de l'exercice</t>
        </is>
      </c>
    </row>
    <row r="640">
      <c r="A640" s="399" t="inlineStr">
        <is>
          <t>6544</t>
        </is>
      </c>
      <c r="B640" s="400" t="inlineStr">
        <is>
          <t>Créances des exercices antérieurs</t>
        </is>
      </c>
    </row>
    <row r="641">
      <c r="A641" s="399" t="inlineStr">
        <is>
          <t>655</t>
        </is>
      </c>
      <c r="B641" s="400" t="inlineStr">
        <is>
          <t>Quote-part de résultat sur opérations faites en commun</t>
        </is>
      </c>
    </row>
    <row r="642">
      <c r="A642" s="399" t="inlineStr">
        <is>
          <t>6551</t>
        </is>
      </c>
      <c r="B642" s="400" t="inlineStr">
        <is>
          <t>Quote-part de bénéfice transférée - comptabilité du gérant</t>
        </is>
      </c>
    </row>
    <row r="643">
      <c r="A643" s="399" t="inlineStr">
        <is>
          <t>6555</t>
        </is>
      </c>
      <c r="B643" s="400" t="inlineStr">
        <is>
          <t>Quote-part de perte supportée - comptabilité des associés non gérants</t>
        </is>
      </c>
    </row>
    <row r="644">
      <c r="A644" s="399" t="inlineStr">
        <is>
          <t>656</t>
        </is>
      </c>
      <c r="B644" s="400" t="inlineStr">
        <is>
          <t>Pertes de change sur créances et dettes commerciales</t>
        </is>
      </c>
    </row>
    <row r="645">
      <c r="A645" s="399" t="inlineStr">
        <is>
          <t>657</t>
        </is>
      </c>
      <c r="B645" s="400" t="inlineStr">
        <is>
          <t>Valeurs comptables des immobilisations incorporelles et corporelles cédées</t>
        </is>
      </c>
    </row>
    <row r="646">
      <c r="A646" s="399" t="inlineStr">
        <is>
          <t>658</t>
        </is>
      </c>
      <c r="B646" s="400" t="inlineStr">
        <is>
          <t>Pénalités et autres charges</t>
        </is>
      </c>
    </row>
    <row r="647">
      <c r="A647" s="399" t="inlineStr">
        <is>
          <t>6581</t>
        </is>
      </c>
      <c r="B647" s="400" t="inlineStr">
        <is>
          <t>Pénalités sur marchés (et dédits payés sur achats et ventes)</t>
        </is>
      </c>
    </row>
    <row r="648">
      <c r="A648" s="399" t="inlineStr">
        <is>
          <t>6582</t>
        </is>
      </c>
      <c r="B648" s="400" t="inlineStr">
        <is>
          <t>Pénalités, amendes fiscales et pénales</t>
        </is>
      </c>
    </row>
    <row r="649">
      <c r="A649" s="399" t="inlineStr">
        <is>
          <t>6583</t>
        </is>
      </c>
      <c r="B649" s="400" t="inlineStr">
        <is>
          <t>Malis provenant de clauses d’indexation</t>
        </is>
      </c>
    </row>
    <row r="650">
      <c r="A650" s="399" t="inlineStr">
        <is>
          <t>6584</t>
        </is>
      </c>
      <c r="B650" s="400" t="inlineStr">
        <is>
          <t>Lots</t>
        </is>
      </c>
    </row>
    <row r="651">
      <c r="A651" s="399" t="inlineStr">
        <is>
          <t>6588</t>
        </is>
      </c>
      <c r="B651" s="400" t="inlineStr">
        <is>
          <t>Opérations de constitution ou liquidation des fiducies</t>
        </is>
      </c>
    </row>
    <row r="652">
      <c r="A652" s="399" t="inlineStr">
        <is>
          <t>66</t>
        </is>
      </c>
      <c r="B652" s="400" t="inlineStr">
        <is>
          <t>Charges financières</t>
        </is>
      </c>
    </row>
    <row r="653">
      <c r="A653" s="399" t="inlineStr">
        <is>
          <t>661</t>
        </is>
      </c>
      <c r="B653" s="400" t="inlineStr">
        <is>
          <t>Charges d'intérêts</t>
        </is>
      </c>
    </row>
    <row r="654">
      <c r="A654" s="399" t="inlineStr">
        <is>
          <t>6611</t>
        </is>
      </c>
      <c r="B654" s="400" t="inlineStr">
        <is>
          <t>Intérêts des emprunts et dettes</t>
        </is>
      </c>
    </row>
    <row r="655">
      <c r="A655" s="399" t="inlineStr">
        <is>
          <t>66116</t>
        </is>
      </c>
      <c r="B655" s="400" t="inlineStr">
        <is>
          <t>Intérêts des emprunts et dettes assimilées</t>
        </is>
      </c>
    </row>
    <row r="656">
      <c r="A656" s="399" t="inlineStr">
        <is>
          <t>66117</t>
        </is>
      </c>
      <c r="B656" s="400" t="inlineStr">
        <is>
          <t>Intérêts des dettes rattachées à des participations</t>
        </is>
      </c>
    </row>
    <row r="657">
      <c r="A657" s="399" t="inlineStr">
        <is>
          <t>6612</t>
        </is>
      </c>
      <c r="B657" s="400" t="inlineStr">
        <is>
          <t>Charges de la fiducie, résultat de la période</t>
        </is>
      </c>
    </row>
    <row r="658">
      <c r="A658" s="399" t="inlineStr">
        <is>
          <t>6615</t>
        </is>
      </c>
      <c r="B658" s="400" t="inlineStr">
        <is>
          <t>Intérêts des comptes courants et des dépôts créditeurs</t>
        </is>
      </c>
    </row>
    <row r="659">
      <c r="A659" s="399" t="inlineStr">
        <is>
          <t>6616</t>
        </is>
      </c>
      <c r="B659" s="400" t="inlineStr">
        <is>
          <t>Intérêts bancaires et sur opérations de financement (escompte…)</t>
        </is>
      </c>
    </row>
    <row r="660">
      <c r="A660" s="399" t="inlineStr">
        <is>
          <t>6617</t>
        </is>
      </c>
      <c r="B660" s="400" t="inlineStr">
        <is>
          <t>Intérêts des obligations cautionnées</t>
        </is>
      </c>
    </row>
    <row r="661">
      <c r="A661" s="399" t="inlineStr">
        <is>
          <t>6618</t>
        </is>
      </c>
      <c r="B661" s="400" t="inlineStr">
        <is>
          <t>Intérêts des autres dettes</t>
        </is>
      </c>
    </row>
    <row r="662">
      <c r="A662" s="399" t="inlineStr">
        <is>
          <t>66181</t>
        </is>
      </c>
      <c r="B662" s="400" t="inlineStr">
        <is>
          <t>Intérêts des dettes commerciales</t>
        </is>
      </c>
    </row>
    <row r="663">
      <c r="A663" s="399" t="inlineStr">
        <is>
          <t>66188</t>
        </is>
      </c>
      <c r="B663" s="400" t="inlineStr">
        <is>
          <t>Intérêts des dettes diverses</t>
        </is>
      </c>
    </row>
    <row r="664">
      <c r="A664" s="399" t="inlineStr">
        <is>
          <t>664</t>
        </is>
      </c>
      <c r="B664" s="400" t="inlineStr">
        <is>
          <t>Pertes sur créances liées à des participations</t>
        </is>
      </c>
    </row>
    <row r="665">
      <c r="A665" s="399" t="inlineStr">
        <is>
          <t>665</t>
        </is>
      </c>
      <c r="B665" s="400" t="inlineStr">
        <is>
          <t>Escomptes accordés</t>
        </is>
      </c>
    </row>
    <row r="666">
      <c r="A666" s="399" t="inlineStr">
        <is>
          <t>666</t>
        </is>
      </c>
      <c r="B666" s="400" t="inlineStr">
        <is>
          <t>Pertes de change financières</t>
        </is>
      </c>
    </row>
    <row r="667">
      <c r="A667" s="399" t="inlineStr">
        <is>
          <t>667</t>
        </is>
      </c>
      <c r="B667" s="400" t="inlineStr">
        <is>
          <t>Charges sur cession d’éléments financiers</t>
        </is>
      </c>
    </row>
    <row r="668">
      <c r="A668" s="399" t="inlineStr">
        <is>
          <t>6671</t>
        </is>
      </c>
      <c r="B668" s="400" t="inlineStr">
        <is>
          <t>Valeurs comptables des immobilisations financières cédées</t>
        </is>
      </c>
    </row>
    <row r="669">
      <c r="A669" s="399" t="inlineStr">
        <is>
          <t>6672</t>
        </is>
      </c>
      <c r="B669" s="400" t="inlineStr">
        <is>
          <t>Charges nettes sur cessions de titres immobilisés de l’activité de portefeuille</t>
        </is>
      </c>
    </row>
    <row r="670">
      <c r="A670" s="399" t="inlineStr">
        <is>
          <t>6673</t>
        </is>
      </c>
      <c r="B670" s="400" t="inlineStr">
        <is>
          <t>Charges nettes sur cessions de valeurs mobilières de placement</t>
        </is>
      </c>
    </row>
    <row r="671">
      <c r="A671" s="399" t="inlineStr">
        <is>
          <t>6674</t>
        </is>
      </c>
      <c r="B671" s="400" t="inlineStr">
        <is>
          <t>Charges nettes sur cessions de jetons</t>
        </is>
      </c>
    </row>
    <row r="672">
      <c r="A672" s="399" t="inlineStr">
        <is>
          <t>668</t>
        </is>
      </c>
      <c r="B672" s="400" t="inlineStr">
        <is>
          <t>Autres charges financières</t>
        </is>
      </c>
    </row>
    <row r="673">
      <c r="A673" s="399" t="inlineStr">
        <is>
          <t>6683</t>
        </is>
      </c>
      <c r="B673" s="400" t="inlineStr">
        <is>
          <t>Mali provenant du rachat par l’entité d’actions et obligations émises par elle-même</t>
        </is>
      </c>
    </row>
    <row r="674">
      <c r="A674" s="399" t="inlineStr">
        <is>
          <t>67</t>
        </is>
      </c>
      <c r="B674" s="400" t="inlineStr">
        <is>
          <t>Charges exceptionnelles</t>
        </is>
      </c>
    </row>
    <row r="675">
      <c r="A675" s="399" t="inlineStr">
        <is>
          <t>672</t>
        </is>
      </c>
      <c r="B675" s="400" t="inlineStr">
        <is>
          <t>(Compte à la disposition des entités pour enregistrer, en cours d'exercice, les charges sur exercices antérieurs)</t>
        </is>
      </c>
    </row>
    <row r="676">
      <c r="A676" s="399" t="inlineStr">
        <is>
          <t>678</t>
        </is>
      </c>
      <c r="B676" s="400" t="inlineStr">
        <is>
          <t>Autres charges exceptionnelles</t>
        </is>
      </c>
    </row>
    <row r="677">
      <c r="A677" s="399" t="inlineStr">
        <is>
          <t>68</t>
        </is>
      </c>
      <c r="B677" s="400" t="inlineStr">
        <is>
          <t>Dotations aux amortissements, aux dépréciations et aux provisions</t>
        </is>
      </c>
    </row>
    <row r="678">
      <c r="A678" s="399" t="inlineStr">
        <is>
          <t>681</t>
        </is>
      </c>
      <c r="B678" s="400" t="inlineStr">
        <is>
          <t>Dotations aux amortissements, aux dépréciations et aux provisions (à inscrire dans les charges d'exploitation)</t>
        </is>
      </c>
    </row>
    <row r="679">
      <c r="A679" s="399" t="inlineStr">
        <is>
          <t>6811</t>
        </is>
      </c>
      <c r="B679" s="400" t="inlineStr">
        <is>
          <t>Dotations aux amortissements sur immobilisations incorporelles et corporelles</t>
        </is>
      </c>
    </row>
    <row r="680">
      <c r="A680" s="399" t="inlineStr">
        <is>
          <t>68111</t>
        </is>
      </c>
      <c r="B680" s="400" t="inlineStr">
        <is>
          <t>Immobilisations incorporelles et frais d’établissement</t>
        </is>
      </c>
    </row>
    <row r="681">
      <c r="A681" s="399" t="inlineStr">
        <is>
          <t>68112</t>
        </is>
      </c>
      <c r="B681" s="400" t="inlineStr">
        <is>
          <t>Immobilisations corporelles</t>
        </is>
      </c>
    </row>
    <row r="682">
      <c r="A682" s="399" t="inlineStr">
        <is>
          <t>6815</t>
        </is>
      </c>
      <c r="B682" s="400" t="inlineStr">
        <is>
          <t>Dotations aux provisions d'exploitation</t>
        </is>
      </c>
    </row>
    <row r="683">
      <c r="A683" s="399" t="inlineStr">
        <is>
          <t>6816</t>
        </is>
      </c>
      <c r="B683" s="400" t="inlineStr">
        <is>
          <t>Dotations pour dépréciations des immobilisations incorporelles et corporelles</t>
        </is>
      </c>
    </row>
    <row r="684">
      <c r="A684" s="399" t="inlineStr">
        <is>
          <t>68161</t>
        </is>
      </c>
      <c r="B684" s="400" t="inlineStr">
        <is>
          <t>Immobilisations incorporelles</t>
        </is>
      </c>
    </row>
    <row r="685">
      <c r="A685" s="399" t="inlineStr">
        <is>
          <t>68162</t>
        </is>
      </c>
      <c r="B685" s="400" t="inlineStr">
        <is>
          <t>Immobilisations corporelles</t>
        </is>
      </c>
    </row>
    <row r="686">
      <c r="A686" s="399" t="inlineStr">
        <is>
          <t>6817</t>
        </is>
      </c>
      <c r="B686" s="400" t="inlineStr">
        <is>
          <t>Dotations pour dépréciations des actifs circulants</t>
        </is>
      </c>
    </row>
    <row r="687">
      <c r="A687" s="399" t="inlineStr">
        <is>
          <t>68173</t>
        </is>
      </c>
      <c r="B687" s="400" t="inlineStr">
        <is>
          <t>Stocks et en-cours</t>
        </is>
      </c>
    </row>
    <row r="688">
      <c r="A688" s="399" t="inlineStr">
        <is>
          <t>68174</t>
        </is>
      </c>
      <c r="B688" s="400" t="inlineStr">
        <is>
          <t>Créances</t>
        </is>
      </c>
    </row>
    <row r="689">
      <c r="A689" s="399" t="inlineStr">
        <is>
          <t>686</t>
        </is>
      </c>
      <c r="B689" s="400" t="inlineStr">
        <is>
          <t>Dotations aux amortissements, aux dépréciations et aux provisions (à inscrire dans les charges financières)</t>
        </is>
      </c>
    </row>
    <row r="690">
      <c r="A690" s="399" t="inlineStr">
        <is>
          <t>6861</t>
        </is>
      </c>
      <c r="B690" s="400" t="inlineStr">
        <is>
          <t>Dotations aux amortissements des primes de remboursement des emprunts</t>
        </is>
      </c>
    </row>
    <row r="691">
      <c r="A691" s="399" t="inlineStr">
        <is>
          <t>6862</t>
        </is>
      </c>
      <c r="B691" s="400" t="inlineStr">
        <is>
          <t>Dotations aux amortissements des frais d'émission des emprunts</t>
        </is>
      </c>
    </row>
    <row r="692">
      <c r="A692" s="399" t="inlineStr">
        <is>
          <t>6865</t>
        </is>
      </c>
      <c r="B692" s="400" t="inlineStr">
        <is>
          <t>Dotations aux provisions financières</t>
        </is>
      </c>
    </row>
    <row r="693">
      <c r="A693" s="399" t="inlineStr">
        <is>
          <t>6866</t>
        </is>
      </c>
      <c r="B693" s="400" t="inlineStr">
        <is>
          <t>Dotations pour dépréciation des éléments financiers</t>
        </is>
      </c>
    </row>
    <row r="694">
      <c r="A694" s="399" t="inlineStr">
        <is>
          <t>68662</t>
        </is>
      </c>
      <c r="B694" s="400" t="inlineStr">
        <is>
          <t>Immobilisations financières</t>
        </is>
      </c>
    </row>
    <row r="695">
      <c r="A695" s="399" t="inlineStr">
        <is>
          <t>68665</t>
        </is>
      </c>
      <c r="B695" s="400" t="inlineStr">
        <is>
          <t>Valeurs mobilières de placement</t>
        </is>
      </c>
    </row>
    <row r="696">
      <c r="A696" s="399" t="inlineStr">
        <is>
          <t>687</t>
        </is>
      </c>
      <c r="B696" s="400" t="inlineStr">
        <is>
          <t>Dotations aux amortissements, aux dépréciations et aux provisions (à inscrire dans les charges exceptionnelles)</t>
        </is>
      </c>
    </row>
    <row r="697">
      <c r="A697" s="399" t="inlineStr">
        <is>
          <t>6871</t>
        </is>
      </c>
      <c r="B697" s="400" t="inlineStr">
        <is>
          <t>Dotations aux amortissements exceptionnels des immobilisations</t>
        </is>
      </c>
    </row>
    <row r="698">
      <c r="A698" s="399" t="inlineStr">
        <is>
          <t>6872</t>
        </is>
      </c>
      <c r="B698" s="400" t="inlineStr">
        <is>
          <t>Dotations aux provisions réglementées (immobilisations)</t>
        </is>
      </c>
    </row>
    <row r="699">
      <c r="A699" s="399" t="inlineStr">
        <is>
          <t>68725</t>
        </is>
      </c>
      <c r="B699" s="400" t="inlineStr">
        <is>
          <t>Amortissements dérogatoires</t>
        </is>
      </c>
    </row>
    <row r="700">
      <c r="A700" s="399" t="inlineStr">
        <is>
          <t>6873</t>
        </is>
      </c>
      <c r="B700" s="400" t="inlineStr">
        <is>
          <t>Dotations aux provisions réglementées (stocks)</t>
        </is>
      </c>
    </row>
    <row r="701">
      <c r="A701" s="399" t="inlineStr">
        <is>
          <t>6874</t>
        </is>
      </c>
      <c r="B701" s="400" t="inlineStr">
        <is>
          <t>Dotations aux autres provisions réglementées</t>
        </is>
      </c>
    </row>
    <row r="702">
      <c r="A702" s="399" t="inlineStr">
        <is>
          <t>6875</t>
        </is>
      </c>
      <c r="B702" s="400" t="inlineStr">
        <is>
          <t>Dotations aux provisions exceptionnelles</t>
        </is>
      </c>
    </row>
    <row r="703">
      <c r="A703" s="399" t="inlineStr">
        <is>
          <t>6876</t>
        </is>
      </c>
      <c r="B703" s="400" t="inlineStr">
        <is>
          <t>Dotations pour dépréciations exceptionnelles</t>
        </is>
      </c>
    </row>
    <row r="704">
      <c r="A704" s="399" t="inlineStr">
        <is>
          <t>69</t>
        </is>
      </c>
      <c r="B704" s="400" t="inlineStr">
        <is>
          <t>Participation des salariés - Impôts sur les bénéfices et assimilés</t>
        </is>
      </c>
    </row>
    <row r="705">
      <c r="A705" s="399" t="inlineStr">
        <is>
          <t>691</t>
        </is>
      </c>
      <c r="B705" s="400" t="inlineStr">
        <is>
          <t>Participation des salariés aux résultats</t>
        </is>
      </c>
    </row>
    <row r="706">
      <c r="A706" s="399" t="inlineStr">
        <is>
          <t>695</t>
        </is>
      </c>
      <c r="B706" s="400" t="inlineStr">
        <is>
          <t>Impôts sur les bénéfices</t>
        </is>
      </c>
    </row>
    <row r="707">
      <c r="A707" s="399" t="inlineStr">
        <is>
          <t>6951</t>
        </is>
      </c>
      <c r="B707" s="400" t="inlineStr">
        <is>
          <t>Impôts dus en France</t>
        </is>
      </c>
    </row>
    <row r="708">
      <c r="A708" s="399" t="inlineStr">
        <is>
          <t>6952</t>
        </is>
      </c>
      <c r="B708" s="400" t="inlineStr">
        <is>
          <t>Contribution additionnelle à l'impôt sur les bénéfices</t>
        </is>
      </c>
    </row>
    <row r="709">
      <c r="A709" s="399" t="inlineStr">
        <is>
          <t>6954</t>
        </is>
      </c>
      <c r="B709" s="400" t="inlineStr">
        <is>
          <t>Impôts dus à l'étranger</t>
        </is>
      </c>
    </row>
    <row r="710">
      <c r="A710" s="399" t="inlineStr">
        <is>
          <t>696</t>
        </is>
      </c>
      <c r="B710" s="400" t="inlineStr">
        <is>
          <t>Suppléments d'impôt sur les sociétés liés aux distributions</t>
        </is>
      </c>
    </row>
    <row r="711">
      <c r="A711" s="399" t="inlineStr">
        <is>
          <t>698</t>
        </is>
      </c>
      <c r="B711" s="400" t="inlineStr">
        <is>
          <t>Intégration fiscale</t>
        </is>
      </c>
    </row>
    <row r="712">
      <c r="A712" s="399" t="inlineStr">
        <is>
          <t>6981</t>
        </is>
      </c>
      <c r="B712" s="400" t="inlineStr">
        <is>
          <t>Intégration fiscale - Charges</t>
        </is>
      </c>
    </row>
    <row r="713">
      <c r="A713" s="399" t="inlineStr">
        <is>
          <t>6989</t>
        </is>
      </c>
      <c r="B713" s="400" t="inlineStr">
        <is>
          <t>Intégration fiscale - Produits</t>
        </is>
      </c>
    </row>
    <row r="714">
      <c r="A714" s="399" t="inlineStr">
        <is>
          <t>699</t>
        </is>
      </c>
      <c r="B714" s="400" t="inlineStr">
        <is>
          <t>Produits - Reports en arrière des déficits</t>
        </is>
      </c>
    </row>
    <row r="715">
      <c r="A715" s="399" t="inlineStr">
        <is>
          <t>70</t>
        </is>
      </c>
      <c r="B715" s="400" t="inlineStr">
        <is>
          <t>Ventes de produits fabriqués, prestations de services, marchandises</t>
        </is>
      </c>
    </row>
    <row r="716">
      <c r="A716" s="399" t="inlineStr">
        <is>
          <t>701</t>
        </is>
      </c>
      <c r="B716" s="400" t="inlineStr">
        <is>
          <t>Ventes de produits finis</t>
        </is>
      </c>
    </row>
    <row r="717">
      <c r="A717" s="399" t="inlineStr">
        <is>
          <t>702</t>
        </is>
      </c>
      <c r="B717" s="400" t="inlineStr">
        <is>
          <t>Ventes de produits intermédiaires</t>
        </is>
      </c>
    </row>
    <row r="718">
      <c r="A718" s="399" t="inlineStr">
        <is>
          <t>703</t>
        </is>
      </c>
      <c r="B718" s="400" t="inlineStr">
        <is>
          <t>Ventes de produits résiduels</t>
        </is>
      </c>
    </row>
    <row r="719">
      <c r="A719" s="399" t="inlineStr">
        <is>
          <t>704</t>
        </is>
      </c>
      <c r="B719" s="400" t="inlineStr">
        <is>
          <t>Travaux</t>
        </is>
      </c>
    </row>
    <row r="720">
      <c r="A720" s="399" t="inlineStr">
        <is>
          <t>705</t>
        </is>
      </c>
      <c r="B720" s="400" t="inlineStr">
        <is>
          <t>Études</t>
        </is>
      </c>
    </row>
    <row r="721">
      <c r="A721" s="399" t="inlineStr">
        <is>
          <t>706</t>
        </is>
      </c>
      <c r="B721" s="400" t="inlineStr">
        <is>
          <t>Prestations de services</t>
        </is>
      </c>
    </row>
    <row r="722">
      <c r="A722" s="399" t="inlineStr">
        <is>
          <t>707</t>
        </is>
      </c>
      <c r="B722" s="400" t="inlineStr">
        <is>
          <t>Ventes de marchandises</t>
        </is>
      </c>
    </row>
    <row r="723">
      <c r="A723" s="399" t="inlineStr">
        <is>
          <t>708</t>
        </is>
      </c>
      <c r="B723" s="400" t="inlineStr">
        <is>
          <t>Produits des activités annexes</t>
        </is>
      </c>
    </row>
    <row r="724">
      <c r="A724" s="399" t="inlineStr">
        <is>
          <t>7081</t>
        </is>
      </c>
      <c r="B724" s="400" t="inlineStr">
        <is>
          <t>Produits des services exploités dans l'intérêt du personnel</t>
        </is>
      </c>
    </row>
    <row r="725">
      <c r="A725" s="399" t="inlineStr">
        <is>
          <t>7082</t>
        </is>
      </c>
      <c r="B725" s="400" t="inlineStr">
        <is>
          <t>Commissions et courtages</t>
        </is>
      </c>
    </row>
    <row r="726">
      <c r="A726" s="399" t="inlineStr">
        <is>
          <t>7083</t>
        </is>
      </c>
      <c r="B726" s="400" t="inlineStr">
        <is>
          <t>Locations diverses</t>
        </is>
      </c>
    </row>
    <row r="727">
      <c r="A727" s="399" t="inlineStr">
        <is>
          <t>7084</t>
        </is>
      </c>
      <c r="B727" s="400" t="inlineStr">
        <is>
          <t>Mise à disposition de personnel facturée</t>
        </is>
      </c>
    </row>
    <row r="728">
      <c r="A728" s="399" t="inlineStr">
        <is>
          <t>7085</t>
        </is>
      </c>
      <c r="B728" s="400" t="inlineStr">
        <is>
          <t>Ports et frais accessoires facturés</t>
        </is>
      </c>
    </row>
    <row r="729">
      <c r="A729" s="399" t="inlineStr">
        <is>
          <t>7086</t>
        </is>
      </c>
      <c r="B729" s="400" t="inlineStr">
        <is>
          <t>Bonis sur reprises d'emballages consignés</t>
        </is>
      </c>
    </row>
    <row r="730">
      <c r="A730" s="399" t="inlineStr">
        <is>
          <t>7087</t>
        </is>
      </c>
      <c r="B730" s="400" t="inlineStr">
        <is>
          <t>Bonifications obtenues des clients et primes sur ventes</t>
        </is>
      </c>
    </row>
    <row r="731">
      <c r="A731" s="399" t="inlineStr">
        <is>
          <t>7088</t>
        </is>
      </c>
      <c r="B731" s="400" t="inlineStr">
        <is>
          <t>Autres produits d'activités annexes (cessions d'approvisionnements)</t>
        </is>
      </c>
    </row>
    <row r="732">
      <c r="A732" s="399" t="inlineStr">
        <is>
          <t>709</t>
        </is>
      </c>
      <c r="B732" s="400" t="inlineStr">
        <is>
          <t>Rabais, remises et ristournes accordés</t>
        </is>
      </c>
    </row>
    <row r="733">
      <c r="A733" s="399" t="inlineStr">
        <is>
          <t>7091</t>
        </is>
      </c>
      <c r="B733" s="400" t="inlineStr">
        <is>
          <t>Rabais, remises et ristournes accordés sur ventes de produits finis</t>
        </is>
      </c>
    </row>
    <row r="734">
      <c r="A734" s="399" t="inlineStr">
        <is>
          <t>7092</t>
        </is>
      </c>
      <c r="B734" s="400" t="inlineStr">
        <is>
          <t>Rabais, remises et ristournes accordés sur ventes de produits intermédiaires</t>
        </is>
      </c>
    </row>
    <row r="735">
      <c r="A735" s="399" t="inlineStr">
        <is>
          <t>7094</t>
        </is>
      </c>
      <c r="B735" s="400" t="inlineStr">
        <is>
          <t>Rabais, remises et ristournes accordés sur travaux</t>
        </is>
      </c>
    </row>
    <row r="736">
      <c r="A736" s="399" t="inlineStr">
        <is>
          <t>7095</t>
        </is>
      </c>
      <c r="B736" s="400" t="inlineStr">
        <is>
          <t>Rabais, remises et ristournes accordés sur études</t>
        </is>
      </c>
    </row>
    <row r="737">
      <c r="A737" s="399" t="inlineStr">
        <is>
          <t>7096</t>
        </is>
      </c>
      <c r="B737" s="400" t="inlineStr">
        <is>
          <t>Rabais, remises et ristournes accordés sur prestations de services</t>
        </is>
      </c>
    </row>
    <row r="738">
      <c r="A738" s="399" t="inlineStr">
        <is>
          <t>7097</t>
        </is>
      </c>
      <c r="B738" s="400" t="inlineStr">
        <is>
          <t>Rabais, remises et ristournes accordés sur ventes de marchandises</t>
        </is>
      </c>
    </row>
    <row r="739">
      <c r="A739" s="399" t="inlineStr">
        <is>
          <t>7098</t>
        </is>
      </c>
      <c r="B739" s="400" t="inlineStr">
        <is>
          <t>Rabais, remises et ristournes accordés sur produits des activités annexes</t>
        </is>
      </c>
    </row>
    <row r="740">
      <c r="A740" s="399" t="inlineStr">
        <is>
          <t>71</t>
        </is>
      </c>
      <c r="B740" s="400" t="inlineStr">
        <is>
          <t>Production stockée (ou déstockage)</t>
        </is>
      </c>
    </row>
    <row r="741">
      <c r="A741" s="399" t="inlineStr">
        <is>
          <t>713</t>
        </is>
      </c>
      <c r="B741" s="400" t="inlineStr">
        <is>
          <t>Variation des stocks des en-cours de production et de produits</t>
        </is>
      </c>
    </row>
    <row r="742">
      <c r="A742" s="399" t="inlineStr">
        <is>
          <t>7133</t>
        </is>
      </c>
      <c r="B742" s="400" t="inlineStr">
        <is>
          <t>Variation des en-cours de production de biens</t>
        </is>
      </c>
    </row>
    <row r="743">
      <c r="A743" s="399" t="inlineStr">
        <is>
          <t>71331</t>
        </is>
      </c>
      <c r="B743" s="400" t="inlineStr">
        <is>
          <t>Produits en cours</t>
        </is>
      </c>
    </row>
    <row r="744">
      <c r="A744" s="399" t="inlineStr">
        <is>
          <t>71335</t>
        </is>
      </c>
      <c r="B744" s="400" t="inlineStr">
        <is>
          <t>Travaux en cours</t>
        </is>
      </c>
    </row>
    <row r="745">
      <c r="A745" s="399" t="inlineStr">
        <is>
          <t>7134</t>
        </is>
      </c>
      <c r="B745" s="400" t="inlineStr">
        <is>
          <t>Variation des en-cours de production de services</t>
        </is>
      </c>
    </row>
    <row r="746">
      <c r="A746" s="399" t="inlineStr">
        <is>
          <t>71341</t>
        </is>
      </c>
      <c r="B746" s="400" t="inlineStr">
        <is>
          <t>Études en cours</t>
        </is>
      </c>
    </row>
    <row r="747">
      <c r="A747" s="399" t="inlineStr">
        <is>
          <t>71345</t>
        </is>
      </c>
      <c r="B747" s="400" t="inlineStr">
        <is>
          <t>Prestations de services en cours</t>
        </is>
      </c>
    </row>
    <row r="748">
      <c r="A748" s="399" t="inlineStr">
        <is>
          <t>7135</t>
        </is>
      </c>
      <c r="B748" s="400" t="inlineStr">
        <is>
          <t>Variation des stocks de produits</t>
        </is>
      </c>
    </row>
    <row r="749">
      <c r="A749" s="399" t="inlineStr">
        <is>
          <t>71351</t>
        </is>
      </c>
      <c r="B749" s="400" t="inlineStr">
        <is>
          <t>Produits intermédiaires</t>
        </is>
      </c>
    </row>
    <row r="750">
      <c r="A750" s="399" t="inlineStr">
        <is>
          <t>71355</t>
        </is>
      </c>
      <c r="B750" s="400" t="inlineStr">
        <is>
          <t>Produits finis</t>
        </is>
      </c>
    </row>
    <row r="751">
      <c r="A751" s="399" t="inlineStr">
        <is>
          <t>71358</t>
        </is>
      </c>
      <c r="B751" s="400" t="inlineStr">
        <is>
          <t>Produits résiduels</t>
        </is>
      </c>
    </row>
    <row r="752">
      <c r="A752" s="399" t="inlineStr">
        <is>
          <t>72</t>
        </is>
      </c>
      <c r="B752" s="400" t="inlineStr">
        <is>
          <t>Production immobilisée</t>
        </is>
      </c>
    </row>
    <row r="753">
      <c r="A753" s="399" t="inlineStr">
        <is>
          <t>721</t>
        </is>
      </c>
      <c r="B753" s="400" t="inlineStr">
        <is>
          <t>Immobilisations incorporelles</t>
        </is>
      </c>
    </row>
    <row r="754">
      <c r="A754" s="399" t="inlineStr">
        <is>
          <t>722</t>
        </is>
      </c>
      <c r="B754" s="400" t="inlineStr">
        <is>
          <t>Immobilisations corporelles</t>
        </is>
      </c>
    </row>
    <row r="755">
      <c r="A755" s="399" t="inlineStr">
        <is>
          <t>74</t>
        </is>
      </c>
      <c r="B755" s="400" t="inlineStr">
        <is>
          <t>Subventions</t>
        </is>
      </c>
    </row>
    <row r="756">
      <c r="A756" s="399" t="inlineStr">
        <is>
          <t>741</t>
        </is>
      </c>
      <c r="B756" s="400" t="inlineStr">
        <is>
          <t>Subventions d’exploitation</t>
        </is>
      </c>
    </row>
    <row r="757">
      <c r="A757" s="399" t="inlineStr">
        <is>
          <t>742</t>
        </is>
      </c>
      <c r="B757" s="400" t="inlineStr">
        <is>
          <t>Subventions d’équilibre</t>
        </is>
      </c>
    </row>
    <row r="758">
      <c r="A758" s="399" t="inlineStr">
        <is>
          <t>747</t>
        </is>
      </c>
      <c r="B758" s="400" t="inlineStr">
        <is>
          <t>Quote-part des subventions d’investissement virée au résultat de l’exercice</t>
        </is>
      </c>
    </row>
    <row r="759">
      <c r="A759" s="399" t="inlineStr">
        <is>
          <t>75</t>
        </is>
      </c>
      <c r="B759" s="400" t="inlineStr">
        <is>
          <t>Autres produits de gestion courante</t>
        </is>
      </c>
    </row>
    <row r="760">
      <c r="A760" s="399" t="inlineStr">
        <is>
          <t>751</t>
        </is>
      </c>
      <c r="B760" s="400" t="inlineStr">
        <is>
          <t>Redevances pour concessions, brevets, licences, marques, procédés, solutions informatiques, droits et valeurs similaires</t>
        </is>
      </c>
    </row>
    <row r="761">
      <c r="A761" s="399" t="inlineStr">
        <is>
          <t>7511</t>
        </is>
      </c>
      <c r="B761" s="400" t="inlineStr">
        <is>
          <t>Redevances pour concessions, brevets, licences, marques, procédés, solutions informatiques</t>
        </is>
      </c>
    </row>
    <row r="762">
      <c r="A762" s="399" t="inlineStr">
        <is>
          <t>7516</t>
        </is>
      </c>
      <c r="B762" s="400" t="inlineStr">
        <is>
          <t>Droits d'auteur et de reproduction</t>
        </is>
      </c>
    </row>
    <row r="763">
      <c r="A763" s="399" t="inlineStr">
        <is>
          <t>7518</t>
        </is>
      </c>
      <c r="B763" s="400" t="inlineStr">
        <is>
          <t>Autres droits et valeurs similaires</t>
        </is>
      </c>
    </row>
    <row r="764">
      <c r="A764" s="399" t="inlineStr">
        <is>
          <t>752</t>
        </is>
      </c>
      <c r="B764" s="400" t="inlineStr">
        <is>
          <t>Revenus des immeubles non affectés à des activités professionnelles</t>
        </is>
      </c>
    </row>
    <row r="765">
      <c r="A765" s="399" t="inlineStr">
        <is>
          <t>753</t>
        </is>
      </c>
      <c r="B765" s="400" t="inlineStr">
        <is>
          <t>Rémunérations de l’activité des administrateurs et des gérants</t>
        </is>
      </c>
    </row>
    <row r="766">
      <c r="A766" s="399" t="inlineStr">
        <is>
          <t>754</t>
        </is>
      </c>
      <c r="B766" s="400" t="inlineStr">
        <is>
          <t>Ristournes perçues des coopératives provenant des excédents</t>
        </is>
      </c>
    </row>
    <row r="767">
      <c r="A767" s="399" t="inlineStr">
        <is>
          <t>755</t>
        </is>
      </c>
      <c r="B767" s="400" t="inlineStr">
        <is>
          <t>Quote-part de résultat sur opérations faites en commun</t>
        </is>
      </c>
    </row>
    <row r="768">
      <c r="A768" s="399" t="inlineStr">
        <is>
          <t>7551</t>
        </is>
      </c>
      <c r="B768" s="400" t="inlineStr">
        <is>
          <t>Quote-part de perte transférée - comptabilité du gérant</t>
        </is>
      </c>
    </row>
    <row r="769">
      <c r="A769" s="399" t="inlineStr">
        <is>
          <t>7555</t>
        </is>
      </c>
      <c r="B769" s="400" t="inlineStr">
        <is>
          <t>Quote-part de bénéfice attribuée - comptabilité des associés non-gérants</t>
        </is>
      </c>
    </row>
    <row r="770">
      <c r="A770" s="399" t="inlineStr">
        <is>
          <t>756</t>
        </is>
      </c>
      <c r="B770" s="400" t="inlineStr">
        <is>
          <t>Gains de change sur créances et dettes commerciales</t>
        </is>
      </c>
    </row>
    <row r="771">
      <c r="A771" s="399" t="inlineStr">
        <is>
          <t>757</t>
        </is>
      </c>
      <c r="B771" s="400" t="inlineStr">
        <is>
          <t>Produits des cessions d’immobilisations incorporelles et corporelles</t>
        </is>
      </c>
    </row>
    <row r="772">
      <c r="A772" s="399" t="inlineStr">
        <is>
          <t>758</t>
        </is>
      </c>
      <c r="B772" s="400" t="inlineStr">
        <is>
          <t>Indemnités et autres produits</t>
        </is>
      </c>
    </row>
    <row r="773">
      <c r="A773" s="399" t="inlineStr">
        <is>
          <t>7581</t>
        </is>
      </c>
      <c r="B773" s="400" t="inlineStr">
        <is>
          <t>Dédits et pénalités perçus sur achats et ventes</t>
        </is>
      </c>
    </row>
    <row r="774">
      <c r="A774" s="399" t="inlineStr">
        <is>
          <t>7582</t>
        </is>
      </c>
      <c r="B774" s="400" t="inlineStr">
        <is>
          <t>Libéralités reçues</t>
        </is>
      </c>
    </row>
    <row r="775">
      <c r="A775" s="399" t="inlineStr">
        <is>
          <t>7583</t>
        </is>
      </c>
      <c r="B775" s="400" t="inlineStr">
        <is>
          <t>Rentrées sur créances amorties</t>
        </is>
      </c>
    </row>
    <row r="776">
      <c r="A776" s="399" t="inlineStr">
        <is>
          <t>7584</t>
        </is>
      </c>
      <c r="B776" s="400" t="inlineStr">
        <is>
          <t>Dégrèvements d’impôts autres qu’impôts sur les bénéfices</t>
        </is>
      </c>
    </row>
    <row r="777">
      <c r="A777" s="399" t="inlineStr">
        <is>
          <t>7585</t>
        </is>
      </c>
      <c r="B777" s="400" t="inlineStr">
        <is>
          <t>Bonis provenant de clauses d’indexation</t>
        </is>
      </c>
    </row>
    <row r="778">
      <c r="A778" s="399" t="inlineStr">
        <is>
          <t>7586</t>
        </is>
      </c>
      <c r="B778" s="400" t="inlineStr">
        <is>
          <t>Lots</t>
        </is>
      </c>
    </row>
    <row r="779">
      <c r="A779" s="399" t="inlineStr">
        <is>
          <t>7587</t>
        </is>
      </c>
      <c r="B779" s="400" t="inlineStr">
        <is>
          <t>Indemnités d’assurance</t>
        </is>
      </c>
    </row>
    <row r="780">
      <c r="A780" s="399" t="inlineStr">
        <is>
          <t>7588</t>
        </is>
      </c>
      <c r="B780" s="400" t="inlineStr">
        <is>
          <t>Opérations de constitution ou liquidation des fiducies</t>
        </is>
      </c>
    </row>
    <row r="781">
      <c r="A781" s="399" t="inlineStr">
        <is>
          <t>76</t>
        </is>
      </c>
      <c r="B781" s="400" t="inlineStr">
        <is>
          <t>Produits financiers</t>
        </is>
      </c>
    </row>
    <row r="782">
      <c r="A782" s="399" t="inlineStr">
        <is>
          <t>761</t>
        </is>
      </c>
      <c r="B782" s="400" t="inlineStr">
        <is>
          <t>Produits de participations</t>
        </is>
      </c>
    </row>
    <row r="783">
      <c r="A783" s="399" t="inlineStr">
        <is>
          <t>7611</t>
        </is>
      </c>
      <c r="B783" s="400" t="inlineStr">
        <is>
          <t>Revenus des titres de participation</t>
        </is>
      </c>
    </row>
    <row r="784">
      <c r="A784" s="399" t="inlineStr">
        <is>
          <t>7612</t>
        </is>
      </c>
      <c r="B784" s="400" t="inlineStr">
        <is>
          <t>Produits de la fiducie, résultat de la période</t>
        </is>
      </c>
    </row>
    <row r="785">
      <c r="A785" s="399" t="inlineStr">
        <is>
          <t>7616</t>
        </is>
      </c>
      <c r="B785" s="400" t="inlineStr">
        <is>
          <t>Revenus sur autres formes de participation</t>
        </is>
      </c>
    </row>
    <row r="786">
      <c r="A786" s="399" t="inlineStr">
        <is>
          <t>7617</t>
        </is>
      </c>
      <c r="B786" s="400" t="inlineStr">
        <is>
          <t>Revenus des créances rattachées à des participations</t>
        </is>
      </c>
    </row>
    <row r="787">
      <c r="A787" s="399" t="inlineStr">
        <is>
          <t>762</t>
        </is>
      </c>
      <c r="B787" s="400" t="inlineStr">
        <is>
          <t>Produits des autres immobilisations financières</t>
        </is>
      </c>
    </row>
    <row r="788">
      <c r="A788" s="399" t="inlineStr">
        <is>
          <t>7621</t>
        </is>
      </c>
      <c r="B788" s="400" t="inlineStr">
        <is>
          <t>Revenus des titres immobilisés</t>
        </is>
      </c>
    </row>
    <row r="789">
      <c r="A789" s="399" t="inlineStr">
        <is>
          <t>7626</t>
        </is>
      </c>
      <c r="B789" s="400" t="inlineStr">
        <is>
          <t>Revenus des prêts</t>
        </is>
      </c>
    </row>
    <row r="790">
      <c r="A790" s="399" t="inlineStr">
        <is>
          <t>7627</t>
        </is>
      </c>
      <c r="B790" s="400" t="inlineStr">
        <is>
          <t>Revenus des créances immobilisées</t>
        </is>
      </c>
    </row>
    <row r="791">
      <c r="A791" s="399" t="inlineStr">
        <is>
          <t>763</t>
        </is>
      </c>
      <c r="B791" s="400" t="inlineStr">
        <is>
          <t>Revenus des autres créances</t>
        </is>
      </c>
    </row>
    <row r="792">
      <c r="A792" s="399" t="inlineStr">
        <is>
          <t>7631</t>
        </is>
      </c>
      <c r="B792" s="400" t="inlineStr">
        <is>
          <t>Revenus des créances commerciales</t>
        </is>
      </c>
    </row>
    <row r="793">
      <c r="A793" s="399" t="inlineStr">
        <is>
          <t>7638</t>
        </is>
      </c>
      <c r="B793" s="400" t="inlineStr">
        <is>
          <t>Revenus des créances diverses</t>
        </is>
      </c>
    </row>
    <row r="794">
      <c r="A794" s="399" t="inlineStr">
        <is>
          <t>764</t>
        </is>
      </c>
      <c r="B794" s="400" t="inlineStr">
        <is>
          <t>Revenus des valeurs mobilières de placement</t>
        </is>
      </c>
    </row>
    <row r="795">
      <c r="A795" s="399" t="inlineStr">
        <is>
          <t>765</t>
        </is>
      </c>
      <c r="B795" s="400" t="inlineStr">
        <is>
          <t>Escomptes obtenus</t>
        </is>
      </c>
    </row>
    <row r="796">
      <c r="A796" s="399" t="inlineStr">
        <is>
          <t>766</t>
        </is>
      </c>
      <c r="B796" s="400" t="inlineStr">
        <is>
          <t>Gains de change financiers</t>
        </is>
      </c>
    </row>
    <row r="797">
      <c r="A797" s="399" t="inlineStr">
        <is>
          <t>767</t>
        </is>
      </c>
      <c r="B797" s="400" t="inlineStr">
        <is>
          <t>Produits sur cession d’éléments financiers</t>
        </is>
      </c>
    </row>
    <row r="798">
      <c r="A798" s="399" t="inlineStr">
        <is>
          <t>7671</t>
        </is>
      </c>
      <c r="B798" s="400" t="inlineStr">
        <is>
          <t>Produits des cessions d’immobilisations financières</t>
        </is>
      </c>
    </row>
    <row r="799">
      <c r="A799" s="399" t="inlineStr">
        <is>
          <t>7672</t>
        </is>
      </c>
      <c r="B799" s="400" t="inlineStr">
        <is>
          <t>Produits nets sur cessions de titres immobilisés de l’activité de portefeuille</t>
        </is>
      </c>
    </row>
    <row r="800">
      <c r="A800" s="399" t="inlineStr">
        <is>
          <t>7673</t>
        </is>
      </c>
      <c r="B800" s="400" t="inlineStr">
        <is>
          <t>Produits nets sur cessions de valeurs mobilières de placement</t>
        </is>
      </c>
    </row>
    <row r="801">
      <c r="A801" s="399" t="inlineStr">
        <is>
          <t>7674</t>
        </is>
      </c>
      <c r="B801" s="400" t="inlineStr">
        <is>
          <t>Produits nets sur cessions de jetons</t>
        </is>
      </c>
    </row>
    <row r="802">
      <c r="A802" s="399" t="inlineStr">
        <is>
          <t>768</t>
        </is>
      </c>
      <c r="B802" s="400" t="inlineStr">
        <is>
          <t>Autres produits financiers</t>
        </is>
      </c>
    </row>
    <row r="803">
      <c r="A803" s="399" t="inlineStr">
        <is>
          <t>7683</t>
        </is>
      </c>
      <c r="B803" s="400" t="inlineStr">
        <is>
          <t>Bonis provenant du rachat par l’entreprise d’actions et d’obligations émises par elle-même</t>
        </is>
      </c>
    </row>
    <row r="804">
      <c r="A804" s="399" t="inlineStr">
        <is>
          <t>77</t>
        </is>
      </c>
      <c r="B804" s="400" t="inlineStr">
        <is>
          <t>Produits exceptionnels</t>
        </is>
      </c>
    </row>
    <row r="805">
      <c r="A805" s="399" t="inlineStr">
        <is>
          <t>772</t>
        </is>
      </c>
      <c r="B805" s="400" t="inlineStr">
        <is>
          <t>(Compte à la disposition des entités pour enregistrer, en cours d'exercice, les produits sur exercices antérieurs)</t>
        </is>
      </c>
    </row>
    <row r="806">
      <c r="A806" s="399" t="inlineStr">
        <is>
          <t>778</t>
        </is>
      </c>
      <c r="B806" s="400" t="inlineStr">
        <is>
          <t>Autres produits exceptionnels</t>
        </is>
      </c>
    </row>
    <row r="807">
      <c r="A807" s="399" t="inlineStr">
        <is>
          <t>78</t>
        </is>
      </c>
      <c r="B807" s="400" t="inlineStr">
        <is>
          <t>Reprises sur amortissements, dépréciations et provisions</t>
        </is>
      </c>
    </row>
    <row r="808">
      <c r="A808" s="399" t="inlineStr">
        <is>
          <t>781</t>
        </is>
      </c>
      <c r="B808" s="400" t="inlineStr">
        <is>
          <t>Reprises sur amortissements, dépréciations et provisions (à inscrire dans les produits d'exploitation)</t>
        </is>
      </c>
    </row>
    <row r="809">
      <c r="A809" s="399" t="inlineStr">
        <is>
          <t>7811</t>
        </is>
      </c>
      <c r="B809" s="400" t="inlineStr">
        <is>
          <t>Reprises sur amortissements des immobilisations incorporelles et corporelles</t>
        </is>
      </c>
    </row>
    <row r="810">
      <c r="A810" s="399" t="inlineStr">
        <is>
          <t>78111</t>
        </is>
      </c>
      <c r="B810" s="400" t="inlineStr">
        <is>
          <t>Immobilisations incorporelles</t>
        </is>
      </c>
    </row>
    <row r="811">
      <c r="A811" s="399" t="inlineStr">
        <is>
          <t>78112</t>
        </is>
      </c>
      <c r="B811" s="400" t="inlineStr">
        <is>
          <t>Immobilisations corporelles</t>
        </is>
      </c>
    </row>
    <row r="812">
      <c r="A812" s="399" t="inlineStr">
        <is>
          <t>7815</t>
        </is>
      </c>
      <c r="B812" s="400" t="inlineStr">
        <is>
          <t>Reprises sur provisions d'exploitation</t>
        </is>
      </c>
    </row>
    <row r="813">
      <c r="A813" s="399" t="inlineStr">
        <is>
          <t>7816</t>
        </is>
      </c>
      <c r="B813" s="400" t="inlineStr">
        <is>
          <t>Reprises sur dépréciations des immobilisations incorporelles et corporelles</t>
        </is>
      </c>
    </row>
    <row r="814">
      <c r="A814" s="399" t="inlineStr">
        <is>
          <t>78161</t>
        </is>
      </c>
      <c r="B814" s="400" t="inlineStr">
        <is>
          <t>Immobilisations incorporelles</t>
        </is>
      </c>
    </row>
    <row r="815">
      <c r="A815" s="399" t="inlineStr">
        <is>
          <t>78162</t>
        </is>
      </c>
      <c r="B815" s="400" t="inlineStr">
        <is>
          <t>Immobilisations corporelles</t>
        </is>
      </c>
    </row>
    <row r="816">
      <c r="A816" s="399" t="inlineStr">
        <is>
          <t>7817</t>
        </is>
      </c>
      <c r="B816" s="400" t="inlineStr">
        <is>
          <t>Reprises sur dépréciations des actifs circulants</t>
        </is>
      </c>
    </row>
    <row r="817">
      <c r="A817" s="399" t="inlineStr">
        <is>
          <t>78173</t>
        </is>
      </c>
      <c r="B817" s="400" t="inlineStr">
        <is>
          <t>Stocks et en-cours</t>
        </is>
      </c>
    </row>
    <row r="818">
      <c r="A818" s="399" t="inlineStr">
        <is>
          <t>78174</t>
        </is>
      </c>
      <c r="B818" s="400" t="inlineStr">
        <is>
          <t>Créances</t>
        </is>
      </c>
    </row>
    <row r="819">
      <c r="A819" s="399" t="inlineStr">
        <is>
          <t>786</t>
        </is>
      </c>
      <c r="B819" s="400" t="inlineStr">
        <is>
          <t>Reprises sur dépréciations et provisions (à inscrire dans les produits financiers)</t>
        </is>
      </c>
    </row>
    <row r="820">
      <c r="A820" s="399" t="inlineStr">
        <is>
          <t>7865</t>
        </is>
      </c>
      <c r="B820" s="400" t="inlineStr">
        <is>
          <t>Reprises sur provisions financières</t>
        </is>
      </c>
    </row>
    <row r="821">
      <c r="A821" s="399" t="inlineStr">
        <is>
          <t>7866</t>
        </is>
      </c>
      <c r="B821" s="400" t="inlineStr">
        <is>
          <t>Reprises sur dépréciations des éléments financiers</t>
        </is>
      </c>
    </row>
    <row r="822">
      <c r="A822" s="399" t="inlineStr">
        <is>
          <t>78662</t>
        </is>
      </c>
      <c r="B822" s="400" t="inlineStr">
        <is>
          <t>Immobilisations financières</t>
        </is>
      </c>
    </row>
    <row r="823">
      <c r="A823" s="399" t="inlineStr">
        <is>
          <t>78665</t>
        </is>
      </c>
      <c r="B823" s="400" t="inlineStr">
        <is>
          <t>Valeurs mobilières de placement</t>
        </is>
      </c>
    </row>
    <row r="824">
      <c r="A824" s="399" t="inlineStr">
        <is>
          <t>787</t>
        </is>
      </c>
      <c r="B824" s="400" t="inlineStr">
        <is>
          <t>Reprises sur dépréciations et provisions (à inscrire dans les produits exceptionnels)</t>
        </is>
      </c>
    </row>
    <row r="825">
      <c r="A825" s="399" t="inlineStr">
        <is>
          <t>7872</t>
        </is>
      </c>
      <c r="B825" s="400" t="inlineStr">
        <is>
          <t>Reprises sur provisions réglementées (immobilisations)</t>
        </is>
      </c>
    </row>
    <row r="826">
      <c r="A826" s="399" t="inlineStr">
        <is>
          <t>78725</t>
        </is>
      </c>
      <c r="B826" s="400" t="inlineStr">
        <is>
          <t>Amortissements dérogatoires</t>
        </is>
      </c>
    </row>
    <row r="827">
      <c r="A827" s="399" t="inlineStr">
        <is>
          <t>7873</t>
        </is>
      </c>
      <c r="B827" s="400" t="inlineStr">
        <is>
          <t>Reprises sur provisions réglementées (stocks)</t>
        </is>
      </c>
    </row>
    <row r="828">
      <c r="A828" s="399" t="inlineStr">
        <is>
          <t>7874</t>
        </is>
      </c>
      <c r="B828" s="400" t="inlineStr">
        <is>
          <t>Reprises sur autres provisions réglementées</t>
        </is>
      </c>
    </row>
    <row r="829">
      <c r="A829" s="399" t="inlineStr">
        <is>
          <t>7875</t>
        </is>
      </c>
      <c r="B829" s="400" t="inlineStr">
        <is>
          <t>Reprises sur provisions exceptionnelles</t>
        </is>
      </c>
    </row>
    <row r="830">
      <c r="A830" s="399" t="inlineStr">
        <is>
          <t>7876</t>
        </is>
      </c>
      <c r="B830" s="400" t="inlineStr">
        <is>
          <t>Reprises sur dépréciations exceptionnelles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Lily Paquiet</dc:creator>
  <dcterms:created xmlns:dcterms="http://purl.org/dc/terms/" xmlns:xsi="http://www.w3.org/2001/XMLSchema-instance" xsi:type="dcterms:W3CDTF">2025-06-21T09:36:37Z</dcterms:created>
  <dcterms:modified xmlns:dcterms="http://purl.org/dc/terms/" xmlns:xsi="http://www.w3.org/2001/XMLSchema-instance" xsi:type="dcterms:W3CDTF">2026-10-24T12:32:01Z</dcterms:modified>
  <cp:lastModifiedBy>Lily Paquiet</cp:lastModifiedBy>
</cp:coreProperties>
</file>